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60" yWindow="-105" windowWidth="19485" windowHeight="11835" tabRatio="846" activeTab="2"/>
  </bookViews>
  <sheets>
    <sheet name="1-Metas e Indicadores" sheetId="1" r:id="rId1"/>
    <sheet name="2-Inventário de Necessidades" sheetId="2" r:id="rId2"/>
    <sheet name="3-Plano de Ações" sheetId="3" r:id="rId3"/>
    <sheet name="4-Investimento-Custeio" sheetId="4" r:id="rId4"/>
    <sheet name="5-Capacitação" sheetId="5" r:id="rId5"/>
    <sheet name="6- ALINHAMENTO ESTRATÉGIA TI" sheetId="6" r:id="rId6"/>
    <sheet name="7- ALINHAMENTO ESTRATÉGIA TCE" sheetId="7" r:id="rId7"/>
    <sheet name="ESTRATÉGIA TCE - PD-2015" sheetId="8" state="hidden" r:id="rId8"/>
    <sheet name="DEMANDANTES" sheetId="9" r:id="rId9"/>
    <sheet name="MMD" sheetId="10" state="hidden" r:id="rId10"/>
    <sheet name="REVISÃO 2017-1 - PRIORIZAÇÃO" sheetId="12" r:id="rId11"/>
    <sheet name="AÇÕES SGP" sheetId="14" state="hidden" r:id="rId12"/>
    <sheet name="Recursos" sheetId="13" state="hidden" r:id="rId13"/>
  </sheets>
  <definedNames>
    <definedName name="_xlnm._FilterDatabase" localSheetId="0" hidden="1">'1-Metas e Indicadores'!$A$2:$N$15</definedName>
    <definedName name="_xlnm._FilterDatabase" localSheetId="1" hidden="1">'2-Inventário de Necessidades'!$A$2:$T$63</definedName>
    <definedName name="_xlnm._FilterDatabase" localSheetId="2" hidden="1">'3-Plano de Ações'!$A$2:$U$171</definedName>
    <definedName name="_xlnm._FilterDatabase" localSheetId="3" hidden="1">'4-Investimento-Custeio'!$A$2:$I$39</definedName>
    <definedName name="_xlnm._FilterDatabase" localSheetId="5" hidden="1">'6- ALINHAMENTO ESTRATÉGIA TI'!$A$2:$B$94</definedName>
    <definedName name="_xlnm._FilterDatabase" localSheetId="6" hidden="1">'7- ALINHAMENTO ESTRATÉGIA TCE'!$A$2:$B$153</definedName>
    <definedName name="_xlnm._FilterDatabase" localSheetId="8" hidden="1">DEMANDANTES!$A$2:$B$163</definedName>
    <definedName name="_xlnm._FilterDatabase" localSheetId="7" hidden="1">'ESTRATÉGIA TCE - PD-2015'!$A$2:$D$25</definedName>
    <definedName name="_xlnm._FilterDatabase" localSheetId="9" hidden="1">MMD!$A$5:$Q$54</definedName>
    <definedName name="_xlnm._FilterDatabase" localSheetId="10" hidden="1">'REVISÃO 2017-1 - PRIORIZAÇÃO'!$A$1:$U$96</definedName>
    <definedName name="Z_6DFBCBA6_E327_48F2_941C_44ACD0154C7D_.wvu.Cols" localSheetId="1" hidden="1">'2-Inventário de Necessidades'!$H:$P</definedName>
    <definedName name="Z_6DFBCBA6_E327_48F2_941C_44ACD0154C7D_.wvu.Cols" localSheetId="5" hidden="1">'6- ALINHAMENTO ESTRATÉGIA TI'!$D:$E</definedName>
    <definedName name="Z_6DFBCBA6_E327_48F2_941C_44ACD0154C7D_.wvu.FilterData" localSheetId="1" hidden="1">'2-Inventário de Necessidades'!$A$2:$T$63</definedName>
    <definedName name="Z_6DFBCBA6_E327_48F2_941C_44ACD0154C7D_.wvu.FilterData" localSheetId="2" hidden="1">'3-Plano de Ações'!$A$2:$T$170</definedName>
    <definedName name="Z_6DFBCBA6_E327_48F2_941C_44ACD0154C7D_.wvu.FilterData" localSheetId="3" hidden="1">'4-Investimento-Custeio'!$A$2:$I$39</definedName>
    <definedName name="Z_6DFBCBA6_E327_48F2_941C_44ACD0154C7D_.wvu.FilterData" localSheetId="5" hidden="1">'6- ALINHAMENTO ESTRATÉGIA TI'!$A$2:$B$94</definedName>
    <definedName name="Z_6DFBCBA6_E327_48F2_941C_44ACD0154C7D_.wvu.FilterData" localSheetId="6" hidden="1">'7- ALINHAMENTO ESTRATÉGIA TCE'!$A$2:$B$153</definedName>
    <definedName name="Z_6DFBCBA6_E327_48F2_941C_44ACD0154C7D_.wvu.FilterData" localSheetId="8" hidden="1">DEMANDANTES!$A$2:$B$163</definedName>
    <definedName name="Z_6DFBCBA6_E327_48F2_941C_44ACD0154C7D_.wvu.FilterData" localSheetId="7" hidden="1">'ESTRATÉGIA TCE - PD-2015'!$A$2:$D$25</definedName>
    <definedName name="Z_6DFBCBA6_E327_48F2_941C_44ACD0154C7D_.wvu.FilterData" localSheetId="9" hidden="1">MMD!$A$5:$Q$54</definedName>
    <definedName name="Z_9CBFE2D9_D10D_4676_887A_A9B5F881A699_.wvu.FilterData" localSheetId="2" hidden="1">'3-Plano de Ações'!$A$2:$T$180</definedName>
    <definedName name="Z_9DA56328_1E02_4631_BF3A_66F8FD0B96FD_.wvu.Cols" localSheetId="1" hidden="1">'2-Inventário de Necessidades'!$H:$P</definedName>
    <definedName name="Z_9DA56328_1E02_4631_BF3A_66F8FD0B96FD_.wvu.Cols" localSheetId="5" hidden="1">'6- ALINHAMENTO ESTRATÉGIA TI'!$D:$E</definedName>
    <definedName name="Z_9DA56328_1E02_4631_BF3A_66F8FD0B96FD_.wvu.FilterData" localSheetId="1" hidden="1">'2-Inventário de Necessidades'!$A$2:$T$63</definedName>
    <definedName name="Z_9DA56328_1E02_4631_BF3A_66F8FD0B96FD_.wvu.FilterData" localSheetId="2" hidden="1">'3-Plano de Ações'!$A$2:$U$177</definedName>
    <definedName name="Z_9DA56328_1E02_4631_BF3A_66F8FD0B96FD_.wvu.FilterData" localSheetId="3" hidden="1">'4-Investimento-Custeio'!$A$2:$I$39</definedName>
    <definedName name="Z_9DA56328_1E02_4631_BF3A_66F8FD0B96FD_.wvu.FilterData" localSheetId="5" hidden="1">'6- ALINHAMENTO ESTRATÉGIA TI'!$A$2:$B$94</definedName>
    <definedName name="Z_9DA56328_1E02_4631_BF3A_66F8FD0B96FD_.wvu.FilterData" localSheetId="6" hidden="1">'7- ALINHAMENTO ESTRATÉGIA TCE'!$A$2:$B$153</definedName>
    <definedName name="Z_9DA56328_1E02_4631_BF3A_66F8FD0B96FD_.wvu.FilterData" localSheetId="8" hidden="1">DEMANDANTES!$A$2:$B$163</definedName>
    <definedName name="Z_9DA56328_1E02_4631_BF3A_66F8FD0B96FD_.wvu.FilterData" localSheetId="7" hidden="1">'ESTRATÉGIA TCE - PD-2015'!$A$2:$D$25</definedName>
    <definedName name="Z_9DA56328_1E02_4631_BF3A_66F8FD0B96FD_.wvu.FilterData" localSheetId="9" hidden="1">MMD!$A$5:$Q$54</definedName>
  </definedNames>
  <calcPr calcId="145621"/>
  <customWorkbookViews>
    <customWorkbookView name="Marcelo Augusto Pedreira Xavier - Modo de exibição pessoal" guid="{6DFBCBA6-E327-48F2-941C-44ACD0154C7D}" mergeInterval="0" personalView="1" maximized="1" windowWidth="1883" windowHeight="835" tabRatio="846" activeSheetId="3"/>
    <customWorkbookView name="Bruno Henrique de Oliveira Peixoto - Modo de exibição pessoal" guid="{9DA56328-1E02-4631-BF3A-66F8FD0B96FD}" mergeInterval="0" personalView="1" maximized="1" windowWidth="1920" windowHeight="855" tabRatio="846" activeSheetId="3"/>
  </customWorkbookViews>
  <pivotCaches>
    <pivotCache cacheId="14" r:id="rId14"/>
    <pivotCache cacheId="15" r:id="rId15"/>
  </pivotCaches>
</workbook>
</file>

<file path=xl/calcChain.xml><?xml version="1.0" encoding="utf-8"?>
<calcChain xmlns="http://schemas.openxmlformats.org/spreadsheetml/2006/main">
  <c r="P179" i="3" l="1"/>
  <c r="J101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54" i="3"/>
  <c r="O53" i="3"/>
  <c r="O45" i="3"/>
  <c r="O46" i="3"/>
  <c r="O47" i="3"/>
  <c r="O48" i="3"/>
  <c r="O49" i="3"/>
  <c r="O50" i="3"/>
  <c r="O51" i="3"/>
  <c r="O52" i="3"/>
  <c r="O55" i="3"/>
  <c r="O56" i="3"/>
  <c r="O57" i="3"/>
  <c r="O58" i="3"/>
  <c r="O59" i="3"/>
  <c r="O60" i="3"/>
  <c r="O61" i="3"/>
  <c r="O70" i="3"/>
  <c r="O69" i="3"/>
  <c r="O68" i="3"/>
  <c r="O62" i="3"/>
  <c r="O63" i="3"/>
  <c r="O64" i="3"/>
  <c r="O72" i="3"/>
  <c r="O67" i="3"/>
  <c r="O71" i="3"/>
  <c r="O65" i="3"/>
  <c r="O66" i="3"/>
  <c r="O73" i="3"/>
  <c r="O77" i="3"/>
  <c r="O74" i="3"/>
  <c r="O75" i="3"/>
  <c r="O76" i="3"/>
  <c r="O78" i="3"/>
  <c r="O79" i="3"/>
  <c r="O80" i="3"/>
  <c r="O81" i="3"/>
  <c r="O82" i="3"/>
  <c r="O83" i="3"/>
  <c r="O84" i="3"/>
  <c r="O85" i="3"/>
  <c r="O86" i="3"/>
  <c r="O87" i="3"/>
  <c r="O88" i="3"/>
  <c r="O89" i="3"/>
  <c r="O99" i="3"/>
  <c r="O100" i="3"/>
  <c r="O90" i="3"/>
  <c r="O91" i="3"/>
  <c r="O92" i="3"/>
  <c r="O93" i="3"/>
  <c r="O94" i="3"/>
  <c r="O95" i="3"/>
  <c r="O96" i="3"/>
  <c r="O97" i="3"/>
  <c r="O98" i="3"/>
  <c r="O116" i="3"/>
  <c r="O117" i="3"/>
  <c r="O118" i="3"/>
  <c r="O119" i="3"/>
  <c r="O120" i="3"/>
  <c r="O121" i="3"/>
  <c r="O122" i="3"/>
  <c r="O123" i="3"/>
  <c r="O103" i="3"/>
  <c r="O104" i="3"/>
  <c r="O105" i="3"/>
  <c r="O106" i="3"/>
  <c r="O107" i="3"/>
  <c r="O108" i="3"/>
  <c r="O109" i="3"/>
  <c r="O110" i="3"/>
  <c r="O113" i="3"/>
  <c r="O111" i="3"/>
  <c r="O112" i="3"/>
  <c r="O114" i="3"/>
  <c r="O102" i="3"/>
  <c r="O115" i="3"/>
  <c r="O124" i="3"/>
  <c r="O125" i="3"/>
  <c r="O126" i="3"/>
  <c r="O127" i="3"/>
  <c r="O128" i="3"/>
  <c r="O134" i="3"/>
  <c r="O135" i="3"/>
  <c r="O136" i="3"/>
  <c r="O139" i="3"/>
  <c r="O140" i="3"/>
  <c r="O141" i="3"/>
  <c r="O142" i="3"/>
  <c r="O137" i="3"/>
  <c r="O138" i="3"/>
  <c r="O101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29" i="3"/>
  <c r="O130" i="3"/>
  <c r="O162" i="3"/>
  <c r="O163" i="3"/>
  <c r="O131" i="3"/>
  <c r="O164" i="3"/>
  <c r="O165" i="3"/>
  <c r="O166" i="3"/>
  <c r="O132" i="3"/>
  <c r="O167" i="3"/>
  <c r="O168" i="3"/>
  <c r="O169" i="3"/>
  <c r="O133" i="3"/>
  <c r="O170" i="3"/>
  <c r="O171" i="3"/>
  <c r="M118" i="3"/>
  <c r="M119" i="3"/>
  <c r="M120" i="3"/>
  <c r="R4" i="3" l="1"/>
  <c r="R73" i="3"/>
  <c r="R149" i="3"/>
  <c r="R5" i="3"/>
  <c r="R6" i="3"/>
  <c r="R42" i="3"/>
  <c r="R7" i="3"/>
  <c r="R8" i="3"/>
  <c r="R55" i="3"/>
  <c r="R9" i="3"/>
  <c r="R86" i="3"/>
  <c r="R134" i="3"/>
  <c r="R43" i="3"/>
  <c r="R150" i="3"/>
  <c r="R10" i="3"/>
  <c r="R151" i="3"/>
  <c r="R11" i="3"/>
  <c r="R153" i="3"/>
  <c r="R12" i="3"/>
  <c r="R13" i="3"/>
  <c r="R44" i="3"/>
  <c r="R70" i="3"/>
  <c r="R69" i="3"/>
  <c r="R77" i="3"/>
  <c r="R14" i="3"/>
  <c r="R15" i="3"/>
  <c r="R54" i="3"/>
  <c r="R154" i="3"/>
  <c r="R53" i="3"/>
  <c r="R68" i="3"/>
  <c r="R45" i="3"/>
  <c r="R56" i="3"/>
  <c r="R57" i="3"/>
  <c r="R62" i="3"/>
  <c r="R63" i="3"/>
  <c r="R58" i="3"/>
  <c r="R116" i="3"/>
  <c r="R46" i="3"/>
  <c r="R155" i="3"/>
  <c r="R64" i="3"/>
  <c r="R16" i="3"/>
  <c r="R17" i="3"/>
  <c r="R18" i="3"/>
  <c r="R87" i="3"/>
  <c r="R156" i="3"/>
  <c r="R124" i="3"/>
  <c r="R125" i="3"/>
  <c r="R78" i="3"/>
  <c r="R79" i="3"/>
  <c r="R117" i="3"/>
  <c r="R19" i="3"/>
  <c r="R47" i="3"/>
  <c r="R72" i="3"/>
  <c r="R67" i="3"/>
  <c r="R88" i="3"/>
  <c r="R118" i="3"/>
  <c r="R103" i="3"/>
  <c r="R157" i="3"/>
  <c r="R158" i="3"/>
  <c r="R159" i="3"/>
  <c r="R160" i="3"/>
  <c r="R20" i="3"/>
  <c r="R48" i="3"/>
  <c r="R135" i="3"/>
  <c r="R104" i="3"/>
  <c r="R21" i="3"/>
  <c r="R74" i="3"/>
  <c r="R75" i="3"/>
  <c r="R80" i="3"/>
  <c r="R59" i="3"/>
  <c r="R81" i="3"/>
  <c r="R89" i="3"/>
  <c r="R49" i="3"/>
  <c r="R60" i="3"/>
  <c r="R71" i="3"/>
  <c r="R99" i="3"/>
  <c r="R161" i="3"/>
  <c r="R50" i="3"/>
  <c r="R139" i="3"/>
  <c r="R100" i="3"/>
  <c r="R140" i="3"/>
  <c r="R141" i="3"/>
  <c r="R142" i="3"/>
  <c r="R61" i="3"/>
  <c r="R129" i="3"/>
  <c r="R130" i="3"/>
  <c r="R136" i="3"/>
  <c r="R22" i="3"/>
  <c r="R105" i="3"/>
  <c r="R137" i="3"/>
  <c r="R138" i="3"/>
  <c r="R82" i="3"/>
  <c r="R114" i="3"/>
  <c r="R101" i="3"/>
  <c r="R83" i="3"/>
  <c r="R146" i="3"/>
  <c r="R126" i="3"/>
  <c r="R162" i="3"/>
  <c r="R163" i="3"/>
  <c r="R90" i="3"/>
  <c r="R152" i="3"/>
  <c r="R143" i="3"/>
  <c r="R65" i="3"/>
  <c r="R76" i="3"/>
  <c r="R66" i="3"/>
  <c r="R131" i="3"/>
  <c r="R91" i="3"/>
  <c r="R92" i="3"/>
  <c r="R93" i="3"/>
  <c r="R94" i="3"/>
  <c r="R95" i="3"/>
  <c r="R119" i="3"/>
  <c r="R164" i="3"/>
  <c r="R165" i="3"/>
  <c r="R96" i="3"/>
  <c r="R97" i="3"/>
  <c r="R166" i="3"/>
  <c r="R132" i="3"/>
  <c r="R167" i="3"/>
  <c r="R147" i="3"/>
  <c r="R23" i="3"/>
  <c r="R24" i="3"/>
  <c r="R120" i="3"/>
  <c r="R98" i="3"/>
  <c r="R25" i="3"/>
  <c r="R115" i="3"/>
  <c r="R127" i="3"/>
  <c r="R128" i="3"/>
  <c r="R168" i="3"/>
  <c r="R169" i="3"/>
  <c r="R26" i="3"/>
  <c r="R133" i="3"/>
  <c r="R27" i="3"/>
  <c r="R28" i="3"/>
  <c r="R51" i="3"/>
  <c r="R29" i="3"/>
  <c r="R52" i="3"/>
  <c r="R170" i="3"/>
  <c r="R106" i="3"/>
  <c r="R30" i="3"/>
  <c r="R31" i="3"/>
  <c r="R32" i="3"/>
  <c r="R33" i="3"/>
  <c r="R34" i="3"/>
  <c r="R35" i="3"/>
  <c r="R36" i="3"/>
  <c r="R37" i="3"/>
  <c r="R38" i="3"/>
  <c r="R39" i="3"/>
  <c r="R40" i="3"/>
  <c r="R41" i="3"/>
  <c r="R144" i="3"/>
  <c r="R121" i="3"/>
  <c r="R122" i="3"/>
  <c r="R107" i="3"/>
  <c r="R108" i="3"/>
  <c r="R109" i="3"/>
  <c r="R110" i="3"/>
  <c r="R113" i="3"/>
  <c r="R111" i="3"/>
  <c r="R112" i="3"/>
  <c r="R148" i="3"/>
  <c r="R171" i="3"/>
  <c r="R84" i="3"/>
  <c r="R123" i="3"/>
  <c r="R85" i="3"/>
  <c r="R145" i="3"/>
  <c r="R102" i="3"/>
  <c r="Q4" i="3"/>
  <c r="Q73" i="3"/>
  <c r="Q149" i="3"/>
  <c r="Q5" i="3"/>
  <c r="Q6" i="3"/>
  <c r="Q42" i="3"/>
  <c r="Q7" i="3"/>
  <c r="Q8" i="3"/>
  <c r="Q55" i="3"/>
  <c r="Q9" i="3"/>
  <c r="Q86" i="3"/>
  <c r="Q134" i="3"/>
  <c r="Q43" i="3"/>
  <c r="Q150" i="3"/>
  <c r="Q10" i="3"/>
  <c r="Q151" i="3"/>
  <c r="Q11" i="3"/>
  <c r="Q153" i="3"/>
  <c r="Q12" i="3"/>
  <c r="Q13" i="3"/>
  <c r="Q44" i="3"/>
  <c r="Q70" i="3"/>
  <c r="Q69" i="3"/>
  <c r="Q77" i="3"/>
  <c r="Q14" i="3"/>
  <c r="Q15" i="3"/>
  <c r="Q54" i="3"/>
  <c r="Q154" i="3"/>
  <c r="Q53" i="3"/>
  <c r="Q68" i="3"/>
  <c r="Q45" i="3"/>
  <c r="Q56" i="3"/>
  <c r="Q57" i="3"/>
  <c r="Q62" i="3"/>
  <c r="Q63" i="3"/>
  <c r="Q58" i="3"/>
  <c r="Q116" i="3"/>
  <c r="Q46" i="3"/>
  <c r="Q155" i="3"/>
  <c r="Q64" i="3"/>
  <c r="Q16" i="3"/>
  <c r="Q17" i="3"/>
  <c r="Q18" i="3"/>
  <c r="Q87" i="3"/>
  <c r="Q156" i="3"/>
  <c r="Q124" i="3"/>
  <c r="Q125" i="3"/>
  <c r="Q78" i="3"/>
  <c r="Q79" i="3"/>
  <c r="Q117" i="3"/>
  <c r="Q19" i="3"/>
  <c r="Q47" i="3"/>
  <c r="Q72" i="3"/>
  <c r="Q67" i="3"/>
  <c r="Q88" i="3"/>
  <c r="Q118" i="3"/>
  <c r="Q103" i="3"/>
  <c r="Q157" i="3"/>
  <c r="Q158" i="3"/>
  <c r="Q159" i="3"/>
  <c r="Q160" i="3"/>
  <c r="Q20" i="3"/>
  <c r="Q48" i="3"/>
  <c r="Q135" i="3"/>
  <c r="Q104" i="3"/>
  <c r="Q21" i="3"/>
  <c r="Q74" i="3"/>
  <c r="Q75" i="3"/>
  <c r="Q80" i="3"/>
  <c r="Q59" i="3"/>
  <c r="Q81" i="3"/>
  <c r="Q89" i="3"/>
  <c r="Q49" i="3"/>
  <c r="Q60" i="3"/>
  <c r="Q71" i="3"/>
  <c r="Q99" i="3"/>
  <c r="Q161" i="3"/>
  <c r="Q50" i="3"/>
  <c r="Q139" i="3"/>
  <c r="Q100" i="3"/>
  <c r="Q140" i="3"/>
  <c r="Q141" i="3"/>
  <c r="Q142" i="3"/>
  <c r="Q61" i="3"/>
  <c r="Q129" i="3"/>
  <c r="Q130" i="3"/>
  <c r="Q136" i="3"/>
  <c r="Q22" i="3"/>
  <c r="Q105" i="3"/>
  <c r="Q137" i="3"/>
  <c r="Q138" i="3"/>
  <c r="Q82" i="3"/>
  <c r="Q114" i="3"/>
  <c r="Q101" i="3"/>
  <c r="Q83" i="3"/>
  <c r="Q146" i="3"/>
  <c r="Q126" i="3"/>
  <c r="Q162" i="3"/>
  <c r="Q163" i="3"/>
  <c r="Q90" i="3"/>
  <c r="Q152" i="3"/>
  <c r="Q143" i="3"/>
  <c r="Q65" i="3"/>
  <c r="Q76" i="3"/>
  <c r="Q66" i="3"/>
  <c r="Q131" i="3"/>
  <c r="Q91" i="3"/>
  <c r="Q92" i="3"/>
  <c r="Q93" i="3"/>
  <c r="Q94" i="3"/>
  <c r="Q95" i="3"/>
  <c r="Q119" i="3"/>
  <c r="Q164" i="3"/>
  <c r="Q165" i="3"/>
  <c r="Q96" i="3"/>
  <c r="Q97" i="3"/>
  <c r="Q166" i="3"/>
  <c r="Q132" i="3"/>
  <c r="Q167" i="3"/>
  <c r="Q147" i="3"/>
  <c r="Q23" i="3"/>
  <c r="Q24" i="3"/>
  <c r="Q120" i="3"/>
  <c r="Q98" i="3"/>
  <c r="Q25" i="3"/>
  <c r="Q115" i="3"/>
  <c r="Q127" i="3"/>
  <c r="Q128" i="3"/>
  <c r="Q168" i="3"/>
  <c r="Q169" i="3"/>
  <c r="Q26" i="3"/>
  <c r="Q133" i="3"/>
  <c r="Q27" i="3"/>
  <c r="Q28" i="3"/>
  <c r="Q51" i="3"/>
  <c r="Q29" i="3"/>
  <c r="Q52" i="3"/>
  <c r="Q170" i="3"/>
  <c r="Q106" i="3"/>
  <c r="Q30" i="3"/>
  <c r="Q31" i="3"/>
  <c r="Q32" i="3"/>
  <c r="Q33" i="3"/>
  <c r="Q34" i="3"/>
  <c r="Q35" i="3"/>
  <c r="Q36" i="3"/>
  <c r="Q37" i="3"/>
  <c r="Q38" i="3"/>
  <c r="Q39" i="3"/>
  <c r="Q40" i="3"/>
  <c r="Q41" i="3"/>
  <c r="Q144" i="3"/>
  <c r="Q121" i="3"/>
  <c r="Q122" i="3"/>
  <c r="Q107" i="3"/>
  <c r="Q108" i="3"/>
  <c r="Q109" i="3"/>
  <c r="Q110" i="3"/>
  <c r="Q113" i="3"/>
  <c r="Q111" i="3"/>
  <c r="Q112" i="3"/>
  <c r="Q148" i="3"/>
  <c r="Q171" i="3"/>
  <c r="Q84" i="3"/>
  <c r="Q123" i="3"/>
  <c r="Q85" i="3"/>
  <c r="Q145" i="3"/>
  <c r="Q102" i="3"/>
  <c r="C184" i="3" l="1"/>
  <c r="C185" i="3"/>
  <c r="C186" i="3"/>
  <c r="C183" i="3"/>
  <c r="C66" i="2"/>
  <c r="R3" i="3" l="1"/>
  <c r="D103" i="6"/>
  <c r="D104" i="6"/>
  <c r="D105" i="6"/>
  <c r="D106" i="6"/>
  <c r="D107" i="6"/>
  <c r="D108" i="6"/>
  <c r="D109" i="6"/>
  <c r="D110" i="6"/>
  <c r="D111" i="6"/>
  <c r="D102" i="6"/>
  <c r="D185" i="3" l="1"/>
  <c r="D184" i="3"/>
  <c r="D186" i="3"/>
  <c r="D18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54" i="3"/>
  <c r="M53" i="3"/>
  <c r="M45" i="3"/>
  <c r="M46" i="3"/>
  <c r="M47" i="3"/>
  <c r="M48" i="3"/>
  <c r="M49" i="3"/>
  <c r="M50" i="3"/>
  <c r="M51" i="3"/>
  <c r="M52" i="3"/>
  <c r="M55" i="3"/>
  <c r="M56" i="3"/>
  <c r="M57" i="3"/>
  <c r="M58" i="3"/>
  <c r="M59" i="3"/>
  <c r="M60" i="3"/>
  <c r="M61" i="3"/>
  <c r="M70" i="3"/>
  <c r="M69" i="3"/>
  <c r="M68" i="3"/>
  <c r="M62" i="3"/>
  <c r="M63" i="3"/>
  <c r="M64" i="3"/>
  <c r="M72" i="3"/>
  <c r="M67" i="3"/>
  <c r="M71" i="3"/>
  <c r="M65" i="3"/>
  <c r="M66" i="3"/>
  <c r="M73" i="3"/>
  <c r="M77" i="3"/>
  <c r="M74" i="3"/>
  <c r="M75" i="3"/>
  <c r="M76" i="3"/>
  <c r="M78" i="3"/>
  <c r="M79" i="3"/>
  <c r="M80" i="3"/>
  <c r="M81" i="3"/>
  <c r="M84" i="3"/>
  <c r="M85" i="3"/>
  <c r="M82" i="3"/>
  <c r="M83" i="3"/>
  <c r="M103" i="3"/>
  <c r="M104" i="3"/>
  <c r="M105" i="3"/>
  <c r="M106" i="3"/>
  <c r="M107" i="3"/>
  <c r="M108" i="3"/>
  <c r="M109" i="3"/>
  <c r="M110" i="3"/>
  <c r="M113" i="3"/>
  <c r="M111" i="3"/>
  <c r="M112" i="3"/>
  <c r="M114" i="3"/>
  <c r="M102" i="3"/>
  <c r="M97" i="3"/>
  <c r="M115" i="3"/>
  <c r="M116" i="3"/>
  <c r="M87" i="3"/>
  <c r="M124" i="3"/>
  <c r="M125" i="3"/>
  <c r="M117" i="3"/>
  <c r="M88" i="3"/>
  <c r="M99" i="3"/>
  <c r="M126" i="3"/>
  <c r="M91" i="3"/>
  <c r="M92" i="3"/>
  <c r="M93" i="3"/>
  <c r="M94" i="3"/>
  <c r="M95" i="3"/>
  <c r="M96" i="3"/>
  <c r="M127" i="3"/>
  <c r="M128" i="3"/>
  <c r="M100" i="3"/>
  <c r="M137" i="3"/>
  <c r="M138" i="3"/>
  <c r="M101" i="3"/>
  <c r="M121" i="3"/>
  <c r="M122" i="3"/>
  <c r="M123" i="3"/>
  <c r="M149" i="3"/>
  <c r="M90" i="3"/>
  <c r="M98" i="3"/>
  <c r="M86" i="3"/>
  <c r="M129" i="3"/>
  <c r="M130" i="3"/>
  <c r="M131" i="3"/>
  <c r="M132" i="3"/>
  <c r="M133" i="3"/>
  <c r="M134" i="3"/>
  <c r="M135" i="3"/>
  <c r="M136" i="3"/>
  <c r="M139" i="3"/>
  <c r="M140" i="3"/>
  <c r="M141" i="3"/>
  <c r="M142" i="3"/>
  <c r="M143" i="3"/>
  <c r="M144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89" i="3"/>
  <c r="M161" i="3"/>
  <c r="M162" i="3"/>
  <c r="M163" i="3"/>
  <c r="M164" i="3"/>
  <c r="M165" i="3"/>
  <c r="M166" i="3"/>
  <c r="M167" i="3"/>
  <c r="M168" i="3"/>
  <c r="M169" i="3"/>
  <c r="M170" i="3"/>
  <c r="M171" i="3"/>
  <c r="P54" i="3" l="1"/>
  <c r="P112" i="3"/>
  <c r="P111" i="3"/>
  <c r="P113" i="3"/>
  <c r="I52" i="12" l="1"/>
  <c r="J141" i="3"/>
  <c r="I141" i="3"/>
  <c r="G52" i="12"/>
  <c r="S52" i="12"/>
  <c r="A141" i="3"/>
  <c r="C141" i="3" s="1"/>
  <c r="B141" i="3" l="1"/>
  <c r="I74" i="12" l="1"/>
  <c r="J87" i="3"/>
  <c r="J124" i="3"/>
  <c r="J125" i="3"/>
  <c r="J78" i="3"/>
  <c r="J79" i="3"/>
  <c r="J117" i="3"/>
  <c r="J80" i="3"/>
  <c r="J81" i="3"/>
  <c r="J99" i="3"/>
  <c r="J126" i="3"/>
  <c r="J91" i="3"/>
  <c r="J92" i="3"/>
  <c r="J93" i="3"/>
  <c r="J94" i="3"/>
  <c r="J95" i="3"/>
  <c r="J119" i="3"/>
  <c r="J96" i="3"/>
  <c r="J127" i="3"/>
  <c r="J128" i="3"/>
  <c r="J84" i="3"/>
  <c r="J85" i="3"/>
  <c r="J134" i="3"/>
  <c r="J135" i="3"/>
  <c r="J136" i="3"/>
  <c r="J139" i="3"/>
  <c r="J100" i="3"/>
  <c r="J140" i="3"/>
  <c r="J142" i="3"/>
  <c r="J137" i="3"/>
  <c r="J138" i="3"/>
  <c r="J82" i="3"/>
  <c r="J114" i="3"/>
  <c r="J143" i="3"/>
  <c r="J144" i="3"/>
  <c r="J121" i="3"/>
  <c r="J122" i="3"/>
  <c r="J123" i="3"/>
  <c r="J145" i="3"/>
  <c r="J146" i="3"/>
  <c r="J147" i="3"/>
  <c r="J148" i="3"/>
  <c r="J149" i="3"/>
  <c r="J150" i="3"/>
  <c r="J151" i="3"/>
  <c r="J83" i="3"/>
  <c r="J90" i="3"/>
  <c r="J152" i="3"/>
  <c r="J98" i="3"/>
  <c r="J86" i="3"/>
  <c r="J153" i="3"/>
  <c r="J154" i="3"/>
  <c r="J155" i="3"/>
  <c r="J156" i="3"/>
  <c r="J118" i="3"/>
  <c r="J89" i="3"/>
  <c r="J161" i="3"/>
  <c r="J130" i="3"/>
  <c r="J162" i="3"/>
  <c r="J163" i="3"/>
  <c r="J131" i="3"/>
  <c r="J164" i="3"/>
  <c r="J165" i="3"/>
  <c r="J166" i="3"/>
  <c r="J167" i="3"/>
  <c r="J120" i="3"/>
  <c r="J168" i="3"/>
  <c r="J169" i="3"/>
  <c r="J133" i="3"/>
  <c r="J170" i="3"/>
  <c r="J171" i="3"/>
  <c r="I87" i="3"/>
  <c r="I124" i="3"/>
  <c r="I125" i="3"/>
  <c r="I78" i="3"/>
  <c r="I79" i="3"/>
  <c r="I117" i="3"/>
  <c r="I80" i="3"/>
  <c r="I81" i="3"/>
  <c r="I99" i="3"/>
  <c r="I126" i="3"/>
  <c r="I91" i="3"/>
  <c r="I92" i="3"/>
  <c r="I93" i="3"/>
  <c r="I94" i="3"/>
  <c r="I95" i="3"/>
  <c r="I119" i="3"/>
  <c r="I96" i="3"/>
  <c r="I127" i="3"/>
  <c r="I128" i="3"/>
  <c r="I84" i="3"/>
  <c r="I85" i="3"/>
  <c r="I102" i="3"/>
  <c r="I132" i="3"/>
  <c r="I134" i="3"/>
  <c r="I135" i="3"/>
  <c r="I136" i="3"/>
  <c r="I139" i="3"/>
  <c r="I100" i="3"/>
  <c r="I140" i="3"/>
  <c r="I142" i="3"/>
  <c r="I137" i="3"/>
  <c r="I138" i="3"/>
  <c r="I82" i="3"/>
  <c r="I114" i="3"/>
  <c r="I101" i="3"/>
  <c r="I143" i="3"/>
  <c r="I144" i="3"/>
  <c r="I121" i="3"/>
  <c r="I122" i="3"/>
  <c r="I123" i="3"/>
  <c r="I145" i="3"/>
  <c r="I146" i="3"/>
  <c r="I147" i="3"/>
  <c r="I148" i="3"/>
  <c r="I149" i="3"/>
  <c r="I150" i="3"/>
  <c r="I151" i="3"/>
  <c r="I83" i="3"/>
  <c r="I90" i="3"/>
  <c r="I152" i="3"/>
  <c r="I98" i="3"/>
  <c r="I86" i="3"/>
  <c r="I153" i="3"/>
  <c r="I154" i="3"/>
  <c r="I155" i="3"/>
  <c r="I156" i="3"/>
  <c r="I118" i="3"/>
  <c r="I89" i="3"/>
  <c r="I161" i="3"/>
  <c r="I129" i="3"/>
  <c r="I130" i="3"/>
  <c r="I162" i="3"/>
  <c r="I163" i="3"/>
  <c r="I131" i="3"/>
  <c r="I164" i="3"/>
  <c r="I165" i="3"/>
  <c r="I166" i="3"/>
  <c r="I167" i="3"/>
  <c r="I120" i="3"/>
  <c r="I168" i="3"/>
  <c r="I169" i="3"/>
  <c r="I133" i="3"/>
  <c r="I170" i="3"/>
  <c r="I171" i="3"/>
  <c r="I116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3" i="3"/>
  <c r="J113" i="3"/>
  <c r="I111" i="3"/>
  <c r="J111" i="3"/>
  <c r="I112" i="3"/>
  <c r="J112" i="3"/>
  <c r="I88" i="3"/>
  <c r="J88" i="3"/>
  <c r="I157" i="3"/>
  <c r="J157" i="3"/>
  <c r="I158" i="3"/>
  <c r="J158" i="3"/>
  <c r="I159" i="3"/>
  <c r="J159" i="3"/>
  <c r="I160" i="3"/>
  <c r="J160" i="3"/>
  <c r="I97" i="3"/>
  <c r="J97" i="3"/>
  <c r="I115" i="3"/>
  <c r="J115" i="3"/>
  <c r="U36" i="12" l="1"/>
  <c r="T36" i="12"/>
  <c r="S89" i="12" l="1"/>
  <c r="S90" i="12"/>
  <c r="S91" i="12"/>
  <c r="S92" i="12"/>
  <c r="S93" i="12"/>
  <c r="S7" i="12"/>
  <c r="S49" i="12"/>
  <c r="S68" i="12"/>
  <c r="S74" i="12"/>
  <c r="S28" i="12"/>
  <c r="S39" i="12"/>
  <c r="S69" i="12"/>
  <c r="S70" i="12"/>
  <c r="S75" i="12"/>
  <c r="S83" i="12"/>
  <c r="S84" i="12"/>
  <c r="S2" i="12"/>
  <c r="S61" i="12"/>
  <c r="S78" i="12"/>
  <c r="S77" i="12"/>
  <c r="S31" i="12"/>
  <c r="S33" i="12"/>
  <c r="S41" i="12"/>
  <c r="S50" i="12"/>
  <c r="S30" i="12"/>
  <c r="S34" i="12"/>
  <c r="S35" i="12"/>
  <c r="S80" i="12"/>
  <c r="S81" i="12"/>
  <c r="S42" i="12"/>
  <c r="S43" i="12"/>
  <c r="S44" i="12"/>
  <c r="S45" i="12"/>
  <c r="S40" i="12"/>
  <c r="S46" i="12"/>
  <c r="S82" i="12"/>
  <c r="S58" i="12"/>
  <c r="S56" i="12"/>
  <c r="S37" i="12"/>
  <c r="S32" i="12"/>
  <c r="S47" i="12"/>
  <c r="S6" i="12"/>
  <c r="S4" i="12"/>
  <c r="S3" i="12"/>
  <c r="S95" i="12"/>
  <c r="S5" i="12"/>
  <c r="S64" i="12"/>
  <c r="S65" i="12"/>
  <c r="S66" i="12"/>
  <c r="S67" i="12"/>
  <c r="S63" i="12"/>
  <c r="S38" i="12"/>
  <c r="S72" i="12"/>
  <c r="S79" i="12"/>
  <c r="S71" i="12"/>
  <c r="S25" i="12"/>
  <c r="S88" i="12"/>
  <c r="S19" i="12"/>
  <c r="S86" i="12"/>
  <c r="S87" i="12"/>
  <c r="S22" i="12"/>
  <c r="S20" i="12"/>
  <c r="S76" i="12"/>
  <c r="S24" i="12"/>
  <c r="S23" i="12"/>
  <c r="S54" i="12"/>
  <c r="S9" i="12"/>
  <c r="S10" i="12"/>
  <c r="S15" i="12"/>
  <c r="S14" i="12"/>
  <c r="S13" i="12"/>
  <c r="S16" i="12"/>
  <c r="S12" i="12"/>
  <c r="S53" i="12"/>
  <c r="S51" i="12"/>
  <c r="S57" i="12"/>
  <c r="S55" i="12"/>
  <c r="S29" i="12"/>
  <c r="S11" i="12"/>
  <c r="S85" i="12"/>
  <c r="S62" i="12"/>
  <c r="S8" i="12"/>
  <c r="S17" i="12"/>
  <c r="S18" i="12"/>
  <c r="S27" i="12"/>
  <c r="S21" i="12"/>
  <c r="S26" i="12"/>
  <c r="S48" i="12"/>
  <c r="S73" i="12"/>
  <c r="S59" i="12"/>
  <c r="S94" i="12"/>
  <c r="S60" i="12"/>
  <c r="S36" i="12"/>
  <c r="M96" i="12"/>
  <c r="G34" i="12"/>
  <c r="G35" i="12"/>
  <c r="G36" i="12"/>
  <c r="G37" i="12"/>
  <c r="G38" i="12"/>
  <c r="G40" i="12"/>
  <c r="G41" i="12"/>
  <c r="G42" i="12"/>
  <c r="G43" i="12"/>
  <c r="G44" i="12"/>
  <c r="G46" i="12"/>
  <c r="G49" i="12"/>
  <c r="G63" i="12"/>
  <c r="G64" i="12"/>
  <c r="G65" i="12"/>
  <c r="G66" i="12"/>
  <c r="G67" i="12"/>
  <c r="G68" i="12"/>
  <c r="G72" i="12"/>
  <c r="G74" i="12"/>
  <c r="G80" i="12"/>
  <c r="G81" i="12"/>
  <c r="G89" i="12"/>
  <c r="G90" i="12"/>
  <c r="G91" i="12"/>
  <c r="G92" i="12"/>
  <c r="G93" i="12"/>
  <c r="G2" i="12"/>
  <c r="G7" i="12"/>
  <c r="G28" i="12"/>
  <c r="G29" i="12"/>
  <c r="G31" i="12"/>
  <c r="G33" i="12"/>
  <c r="G39" i="12"/>
  <c r="G45" i="12"/>
  <c r="G50" i="12"/>
  <c r="G56" i="12"/>
  <c r="G58" i="12"/>
  <c r="G59" i="12"/>
  <c r="G60" i="12"/>
  <c r="G61" i="12"/>
  <c r="G62" i="12"/>
  <c r="G69" i="12"/>
  <c r="G70" i="12"/>
  <c r="G73" i="12"/>
  <c r="G75" i="12"/>
  <c r="G77" i="12"/>
  <c r="G78" i="12"/>
  <c r="G82" i="12"/>
  <c r="G83" i="12"/>
  <c r="G84" i="12"/>
  <c r="G47" i="12"/>
  <c r="G95" i="12"/>
  <c r="G5" i="12"/>
  <c r="G6" i="12"/>
  <c r="G4" i="12"/>
  <c r="G3" i="12"/>
  <c r="G79" i="12"/>
  <c r="G25" i="12"/>
  <c r="G71" i="12"/>
  <c r="G88" i="12"/>
  <c r="G19" i="12"/>
  <c r="G20" i="12"/>
  <c r="G32" i="12"/>
  <c r="G86" i="12"/>
  <c r="G87" i="12"/>
  <c r="G22" i="12"/>
  <c r="G76" i="12"/>
  <c r="G24" i="12"/>
  <c r="G9" i="12"/>
  <c r="G23" i="12"/>
  <c r="G10" i="12"/>
  <c r="G54" i="12"/>
  <c r="G14" i="12"/>
  <c r="G15" i="12"/>
  <c r="G13" i="12"/>
  <c r="G12" i="12"/>
  <c r="G16" i="12"/>
  <c r="G53" i="12"/>
  <c r="G51" i="12"/>
  <c r="G57" i="12"/>
  <c r="G55" i="12"/>
  <c r="G11" i="12"/>
  <c r="G85" i="12"/>
  <c r="G17" i="12"/>
  <c r="G8" i="12"/>
  <c r="G18" i="12"/>
  <c r="G21" i="12"/>
  <c r="G26" i="12"/>
  <c r="G27" i="12"/>
  <c r="G48" i="12"/>
  <c r="G94" i="12"/>
  <c r="G30" i="12"/>
  <c r="E3" i="4"/>
  <c r="T34" i="12"/>
  <c r="U34" i="12"/>
  <c r="T35" i="12"/>
  <c r="U35" i="12"/>
  <c r="T37" i="12"/>
  <c r="U37" i="12"/>
  <c r="T38" i="12"/>
  <c r="U38" i="12"/>
  <c r="T40" i="12"/>
  <c r="U40" i="12"/>
  <c r="T41" i="12"/>
  <c r="U41" i="12"/>
  <c r="T42" i="12"/>
  <c r="U42" i="12"/>
  <c r="T43" i="12"/>
  <c r="U43" i="12"/>
  <c r="T44" i="12"/>
  <c r="U44" i="12"/>
  <c r="T46" i="12"/>
  <c r="U46" i="12"/>
  <c r="T49" i="12"/>
  <c r="U49" i="12"/>
  <c r="T63" i="12"/>
  <c r="U63" i="12"/>
  <c r="T64" i="12"/>
  <c r="U64" i="12"/>
  <c r="T65" i="12"/>
  <c r="U65" i="12"/>
  <c r="T66" i="12"/>
  <c r="U66" i="12"/>
  <c r="T67" i="12"/>
  <c r="U67" i="12"/>
  <c r="T68" i="12"/>
  <c r="U68" i="12"/>
  <c r="T72" i="12"/>
  <c r="U72" i="12"/>
  <c r="T74" i="12"/>
  <c r="U74" i="12"/>
  <c r="T80" i="12"/>
  <c r="U80" i="12"/>
  <c r="T81" i="12"/>
  <c r="U81" i="12"/>
  <c r="T89" i="12"/>
  <c r="U89" i="12"/>
  <c r="T90" i="12"/>
  <c r="U90" i="12"/>
  <c r="T91" i="12"/>
  <c r="U91" i="12"/>
  <c r="T92" i="12"/>
  <c r="U92" i="12"/>
  <c r="T93" i="12"/>
  <c r="U93" i="12"/>
  <c r="T2" i="12"/>
  <c r="U2" i="12"/>
  <c r="T7" i="12"/>
  <c r="U7" i="12"/>
  <c r="T28" i="12"/>
  <c r="U28" i="12"/>
  <c r="T29" i="12"/>
  <c r="U29" i="12"/>
  <c r="T31" i="12"/>
  <c r="U31" i="12"/>
  <c r="T33" i="12"/>
  <c r="U33" i="12"/>
  <c r="T39" i="12"/>
  <c r="U39" i="12"/>
  <c r="T45" i="12"/>
  <c r="U45" i="12"/>
  <c r="T50" i="12"/>
  <c r="U50" i="12"/>
  <c r="T56" i="12"/>
  <c r="U56" i="12"/>
  <c r="T58" i="12"/>
  <c r="U58" i="12"/>
  <c r="T59" i="12"/>
  <c r="U59" i="12"/>
  <c r="T60" i="12"/>
  <c r="U60" i="12"/>
  <c r="T61" i="12"/>
  <c r="U61" i="12"/>
  <c r="T62" i="12"/>
  <c r="U62" i="12"/>
  <c r="T69" i="12"/>
  <c r="U69" i="12"/>
  <c r="T70" i="12"/>
  <c r="U70" i="12"/>
  <c r="T73" i="12"/>
  <c r="U73" i="12"/>
  <c r="T75" i="12"/>
  <c r="U75" i="12"/>
  <c r="T77" i="12"/>
  <c r="U77" i="12"/>
  <c r="T78" i="12"/>
  <c r="U78" i="12"/>
  <c r="T82" i="12"/>
  <c r="U82" i="12"/>
  <c r="T83" i="12"/>
  <c r="U83" i="12"/>
  <c r="T84" i="12"/>
  <c r="U84" i="12"/>
  <c r="T20" i="12"/>
  <c r="U20" i="12"/>
  <c r="T32" i="12"/>
  <c r="U32" i="12"/>
  <c r="T86" i="12"/>
  <c r="U86" i="12"/>
  <c r="T87" i="12"/>
  <c r="U87" i="12"/>
  <c r="T22" i="12"/>
  <c r="U22" i="12"/>
  <c r="T88" i="12"/>
  <c r="U88" i="12"/>
  <c r="T19" i="12"/>
  <c r="U19" i="12"/>
  <c r="T25" i="12"/>
  <c r="U25" i="12"/>
  <c r="T71" i="12"/>
  <c r="U71" i="12"/>
  <c r="T79" i="12"/>
  <c r="U79" i="12"/>
  <c r="T95" i="12"/>
  <c r="U95" i="12"/>
  <c r="T5" i="12"/>
  <c r="U5" i="12"/>
  <c r="T6" i="12"/>
  <c r="U6" i="12"/>
  <c r="T4" i="12"/>
  <c r="U4" i="12"/>
  <c r="T3" i="12"/>
  <c r="U3" i="12"/>
  <c r="T47" i="12"/>
  <c r="U47" i="12"/>
  <c r="T24" i="12"/>
  <c r="U24" i="12"/>
  <c r="T76" i="12"/>
  <c r="U76" i="12"/>
  <c r="T9" i="12"/>
  <c r="U9" i="12"/>
  <c r="T23" i="12"/>
  <c r="U23" i="12"/>
  <c r="T10" i="12"/>
  <c r="U10" i="12"/>
  <c r="T54" i="12"/>
  <c r="U54" i="12"/>
  <c r="T13" i="12"/>
  <c r="U13" i="12"/>
  <c r="T14" i="12"/>
  <c r="U14" i="12"/>
  <c r="T15" i="12"/>
  <c r="U15" i="12"/>
  <c r="T53" i="12"/>
  <c r="U53" i="12"/>
  <c r="T12" i="12"/>
  <c r="U12" i="12"/>
  <c r="T16" i="12"/>
  <c r="U16" i="12"/>
  <c r="T85" i="12"/>
  <c r="U85" i="12"/>
  <c r="T11" i="12"/>
  <c r="U11" i="12"/>
  <c r="T57" i="12"/>
  <c r="U57" i="12"/>
  <c r="T55" i="12"/>
  <c r="U55" i="12"/>
  <c r="T51" i="12"/>
  <c r="U51" i="12"/>
  <c r="T17" i="12"/>
  <c r="U17" i="12"/>
  <c r="T8" i="12"/>
  <c r="U8" i="12"/>
  <c r="T18" i="12"/>
  <c r="U18" i="12"/>
  <c r="T21" i="12"/>
  <c r="U21" i="12"/>
  <c r="T26" i="12"/>
  <c r="U26" i="12"/>
  <c r="T27" i="12"/>
  <c r="U27" i="12"/>
  <c r="T48" i="12"/>
  <c r="U48" i="12"/>
  <c r="T94" i="12"/>
  <c r="U94" i="12"/>
  <c r="T30" i="12"/>
  <c r="U30" i="12"/>
  <c r="B34" i="13" l="1"/>
  <c r="B171" i="3" l="1"/>
  <c r="B84" i="3"/>
  <c r="H102" i="3"/>
  <c r="H145" i="3"/>
  <c r="H123" i="3"/>
  <c r="H85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C183" i="9"/>
  <c r="C182" i="9"/>
  <c r="F62" i="2"/>
  <c r="F6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3" i="2"/>
  <c r="C155" i="7"/>
  <c r="C154" i="7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3" i="2"/>
  <c r="F9" i="1"/>
  <c r="N9" i="1"/>
  <c r="C90" i="6" l="1"/>
  <c r="C89" i="6"/>
  <c r="I61" i="12" l="1"/>
  <c r="I22" i="12"/>
  <c r="I23" i="12"/>
  <c r="I62" i="12"/>
  <c r="I69" i="12"/>
  <c r="I70" i="12"/>
  <c r="I73" i="12"/>
  <c r="I75" i="12"/>
  <c r="I76" i="12"/>
  <c r="I77" i="12"/>
  <c r="I78" i="12"/>
  <c r="I82" i="12"/>
  <c r="I83" i="12"/>
  <c r="I84" i="12"/>
  <c r="I85" i="12"/>
  <c r="I21" i="12"/>
  <c r="I19" i="12"/>
  <c r="I8" i="12"/>
  <c r="I7" i="12"/>
  <c r="I94" i="12"/>
  <c r="I15" i="12"/>
  <c r="I4" i="12"/>
  <c r="I11" i="12"/>
  <c r="I2" i="12"/>
  <c r="I5" i="12"/>
  <c r="I6" i="12"/>
  <c r="I14" i="12"/>
  <c r="I25" i="12"/>
  <c r="I9" i="12"/>
  <c r="I3" i="12"/>
  <c r="I13" i="12"/>
  <c r="I20" i="12"/>
  <c r="I24" i="12"/>
  <c r="I16" i="12"/>
  <c r="I10" i="12"/>
  <c r="I17" i="12"/>
  <c r="I18" i="12"/>
  <c r="I40" i="12"/>
  <c r="I46" i="12"/>
  <c r="I57" i="12"/>
  <c r="I86" i="12"/>
  <c r="I87" i="12"/>
  <c r="I88" i="12"/>
  <c r="I89" i="12"/>
  <c r="I90" i="12"/>
  <c r="I91" i="12"/>
  <c r="I92" i="12"/>
  <c r="I93" i="12"/>
  <c r="I27" i="12"/>
  <c r="I38" i="12"/>
  <c r="I41" i="12"/>
  <c r="I42" i="12"/>
  <c r="I43" i="12"/>
  <c r="I44" i="12"/>
  <c r="I45" i="12"/>
  <c r="I56" i="12"/>
  <c r="I72" i="12"/>
  <c r="I79" i="12"/>
  <c r="I30" i="12"/>
  <c r="I32" i="12"/>
  <c r="I34" i="12"/>
  <c r="I35" i="12"/>
  <c r="I36" i="12"/>
  <c r="I37" i="12"/>
  <c r="I47" i="12"/>
  <c r="I49" i="12"/>
  <c r="I63" i="12"/>
  <c r="I64" i="12"/>
  <c r="I65" i="12"/>
  <c r="I66" i="12"/>
  <c r="I67" i="12"/>
  <c r="I68" i="12"/>
  <c r="I71" i="12"/>
  <c r="I80" i="12"/>
  <c r="I81" i="12"/>
  <c r="I95" i="12"/>
  <c r="I51" i="12"/>
  <c r="I53" i="12"/>
  <c r="I58" i="12"/>
  <c r="I26" i="12"/>
  <c r="I28" i="12"/>
  <c r="I29" i="12"/>
  <c r="I31" i="12"/>
  <c r="I33" i="12"/>
  <c r="I39" i="12"/>
  <c r="I48" i="12"/>
  <c r="I50" i="12"/>
  <c r="I54" i="12"/>
  <c r="I55" i="12"/>
  <c r="I59" i="12"/>
  <c r="I60" i="12"/>
  <c r="D175" i="3" l="1"/>
  <c r="C187" i="3" l="1"/>
  <c r="I12" i="12"/>
  <c r="A100" i="3" l="1"/>
  <c r="B100" i="3" s="1"/>
  <c r="A140" i="3"/>
  <c r="C140" i="3" s="1"/>
  <c r="A142" i="3"/>
  <c r="C142" i="3" s="1"/>
  <c r="A137" i="3"/>
  <c r="B137" i="3" s="1"/>
  <c r="A138" i="3"/>
  <c r="B138" i="3" s="1"/>
  <c r="A82" i="3"/>
  <c r="A114" i="3"/>
  <c r="B114" i="3" s="1"/>
  <c r="A101" i="3"/>
  <c r="B101" i="3" s="1"/>
  <c r="A144" i="3"/>
  <c r="C144" i="3" s="1"/>
  <c r="A121" i="3"/>
  <c r="B121" i="3" s="1"/>
  <c r="A122" i="3"/>
  <c r="C122" i="3" s="1"/>
  <c r="A143" i="3"/>
  <c r="C143" i="3" s="1"/>
  <c r="A123" i="3"/>
  <c r="A85" i="3"/>
  <c r="A145" i="3"/>
  <c r="A102" i="3"/>
  <c r="C102" i="3" s="1"/>
  <c r="A139" i="3"/>
  <c r="C82" i="3" l="1"/>
  <c r="T34" i="2"/>
  <c r="T42" i="2"/>
  <c r="T50" i="2"/>
  <c r="T58" i="2"/>
  <c r="S5" i="2"/>
  <c r="S13" i="2"/>
  <c r="S21" i="2"/>
  <c r="S29" i="2"/>
  <c r="S37" i="2"/>
  <c r="S45" i="2"/>
  <c r="S53" i="2"/>
  <c r="S61" i="2"/>
  <c r="T44" i="2"/>
  <c r="T60" i="2"/>
  <c r="S15" i="2"/>
  <c r="S31" i="2"/>
  <c r="S47" i="2"/>
  <c r="S63" i="2"/>
  <c r="T37" i="2"/>
  <c r="T53" i="2"/>
  <c r="S8" i="2"/>
  <c r="S24" i="2"/>
  <c r="S40" i="2"/>
  <c r="S56" i="2"/>
  <c r="T32" i="2"/>
  <c r="T56" i="2"/>
  <c r="S27" i="2"/>
  <c r="S51" i="2"/>
  <c r="T25" i="2"/>
  <c r="T41" i="2"/>
  <c r="S4" i="2"/>
  <c r="S28" i="2"/>
  <c r="S60" i="2"/>
  <c r="T27" i="2"/>
  <c r="T35" i="2"/>
  <c r="T43" i="2"/>
  <c r="T51" i="2"/>
  <c r="T59" i="2"/>
  <c r="S6" i="2"/>
  <c r="S14" i="2"/>
  <c r="S22" i="2"/>
  <c r="S30" i="2"/>
  <c r="S38" i="2"/>
  <c r="S46" i="2"/>
  <c r="S54" i="2"/>
  <c r="S62" i="2"/>
  <c r="T20" i="2"/>
  <c r="T36" i="2"/>
  <c r="T52" i="2"/>
  <c r="S7" i="2"/>
  <c r="S23" i="2"/>
  <c r="S39" i="2"/>
  <c r="S55" i="2"/>
  <c r="T45" i="2"/>
  <c r="T61" i="2"/>
  <c r="S16" i="2"/>
  <c r="S32" i="2"/>
  <c r="S48" i="2"/>
  <c r="S3" i="2"/>
  <c r="T48" i="2"/>
  <c r="S19" i="2"/>
  <c r="S43" i="2"/>
  <c r="S59" i="2"/>
  <c r="T57" i="2"/>
  <c r="S20" i="2"/>
  <c r="S52" i="2"/>
  <c r="T22" i="2"/>
  <c r="T30" i="2"/>
  <c r="T38" i="2"/>
  <c r="T46" i="2"/>
  <c r="T54" i="2"/>
  <c r="T62" i="2"/>
  <c r="S9" i="2"/>
  <c r="S17" i="2"/>
  <c r="S25" i="2"/>
  <c r="S33" i="2"/>
  <c r="S41" i="2"/>
  <c r="S49" i="2"/>
  <c r="S57" i="2"/>
  <c r="T7" i="2"/>
  <c r="T31" i="2"/>
  <c r="T39" i="2"/>
  <c r="T47" i="2"/>
  <c r="T55" i="2"/>
  <c r="T63" i="2"/>
  <c r="S10" i="2"/>
  <c r="S18" i="2"/>
  <c r="S26" i="2"/>
  <c r="S34" i="2"/>
  <c r="S42" i="2"/>
  <c r="S50" i="2"/>
  <c r="S58" i="2"/>
  <c r="T16" i="2"/>
  <c r="T40" i="2"/>
  <c r="S11" i="2"/>
  <c r="S35" i="2"/>
  <c r="T49" i="2"/>
  <c r="S12" i="2"/>
  <c r="S36" i="2"/>
  <c r="S44" i="2"/>
  <c r="T11" i="2"/>
  <c r="T4" i="2"/>
  <c r="T12" i="2"/>
  <c r="T14" i="2"/>
  <c r="T24" i="2"/>
  <c r="T23" i="2"/>
  <c r="T5" i="2"/>
  <c r="T26" i="2"/>
  <c r="T13" i="2"/>
  <c r="T17" i="2"/>
  <c r="T28" i="2"/>
  <c r="T9" i="2"/>
  <c r="T10" i="2"/>
  <c r="T21" i="2"/>
  <c r="T19" i="2"/>
  <c r="T18" i="2"/>
  <c r="T8" i="2"/>
  <c r="T3" i="2"/>
  <c r="T6" i="2"/>
  <c r="T29" i="2"/>
  <c r="T33" i="2"/>
  <c r="T15" i="2"/>
  <c r="C145" i="3"/>
  <c r="B102" i="3"/>
  <c r="B145" i="3"/>
  <c r="C123" i="3"/>
  <c r="B123" i="3"/>
  <c r="C85" i="3"/>
  <c r="B85" i="3"/>
  <c r="B139" i="3"/>
  <c r="C100" i="3"/>
  <c r="B140" i="3"/>
  <c r="C101" i="3"/>
  <c r="B142" i="3"/>
  <c r="C121" i="3"/>
  <c r="C137" i="3"/>
  <c r="C138" i="3"/>
  <c r="B122" i="3"/>
  <c r="B144" i="3"/>
  <c r="C114" i="3"/>
  <c r="B82" i="3"/>
  <c r="B143" i="3"/>
  <c r="C139" i="3"/>
  <c r="C50" i="3"/>
  <c r="C84" i="3"/>
  <c r="R63" i="2" l="1"/>
  <c r="D91" i="6" s="1"/>
  <c r="R62" i="2"/>
  <c r="D90" i="6" s="1"/>
  <c r="D62" i="2"/>
  <c r="D154" i="7" l="1"/>
  <c r="D155" i="7"/>
  <c r="C90" i="3"/>
  <c r="C35" i="5" l="1"/>
  <c r="E32" i="5"/>
  <c r="D32" i="5"/>
  <c r="P72" i="3" l="1"/>
  <c r="P71" i="3" s="1"/>
  <c r="P69" i="3"/>
  <c r="C137" i="7" l="1"/>
  <c r="C94" i="7"/>
  <c r="C19" i="7"/>
  <c r="C11" i="7"/>
  <c r="C28" i="7"/>
  <c r="C23" i="7"/>
  <c r="C24" i="7"/>
  <c r="C66" i="7"/>
  <c r="C34" i="7"/>
  <c r="D6" i="1"/>
  <c r="E6" i="1"/>
  <c r="H81" i="3" l="1"/>
  <c r="B4" i="1" l="1"/>
  <c r="B5" i="1"/>
  <c r="B6" i="1"/>
  <c r="B7" i="1"/>
  <c r="B8" i="1"/>
  <c r="B9" i="1"/>
  <c r="B10" i="1"/>
  <c r="B11" i="1"/>
  <c r="B12" i="1"/>
  <c r="B13" i="1"/>
  <c r="B14" i="1"/>
  <c r="B15" i="1"/>
  <c r="B3" i="1"/>
  <c r="E8" i="1"/>
  <c r="E4" i="1"/>
  <c r="E5" i="1"/>
  <c r="E7" i="1"/>
  <c r="E3" i="1"/>
  <c r="C46" i="6" l="1"/>
  <c r="C70" i="6"/>
  <c r="C60" i="6"/>
  <c r="C88" i="6"/>
  <c r="C91" i="6"/>
  <c r="C76" i="6" l="1"/>
  <c r="C10" i="6"/>
  <c r="C77" i="6"/>
  <c r="C78" i="6"/>
  <c r="C79" i="6"/>
  <c r="C80" i="6"/>
  <c r="C81" i="6"/>
  <c r="C82" i="6"/>
  <c r="C83" i="6"/>
  <c r="C52" i="6"/>
  <c r="C84" i="6"/>
  <c r="C85" i="6"/>
  <c r="C86" i="6"/>
  <c r="C87" i="6"/>
  <c r="C149" i="7"/>
  <c r="C71" i="6"/>
  <c r="D112" i="6" l="1"/>
  <c r="C61" i="6"/>
  <c r="C27" i="6"/>
  <c r="C23" i="6"/>
  <c r="C21" i="6"/>
  <c r="C16" i="6"/>
  <c r="C17" i="6"/>
  <c r="C14" i="6"/>
  <c r="C12" i="6"/>
  <c r="C150" i="7" l="1"/>
  <c r="C151" i="7"/>
  <c r="C152" i="7"/>
  <c r="C153" i="7"/>
  <c r="C72" i="6"/>
  <c r="C73" i="6"/>
  <c r="C74" i="6"/>
  <c r="C75" i="6"/>
  <c r="D10" i="1" l="1"/>
  <c r="E10" i="1" s="1"/>
  <c r="D4" i="1"/>
  <c r="C180" i="9" l="1"/>
  <c r="C181" i="9"/>
  <c r="C184" i="9"/>
  <c r="I38" i="4"/>
  <c r="D38" i="4"/>
  <c r="H111" i="3"/>
  <c r="C111" i="3"/>
  <c r="B111" i="3"/>
  <c r="H113" i="3"/>
  <c r="C113" i="3"/>
  <c r="B113" i="3"/>
  <c r="H110" i="3"/>
  <c r="C110" i="3"/>
  <c r="B110" i="3"/>
  <c r="H56" i="2"/>
  <c r="H57" i="2"/>
  <c r="H58" i="2"/>
  <c r="H59" i="2"/>
  <c r="H60" i="2"/>
  <c r="H61" i="2"/>
  <c r="G10" i="1" l="1"/>
  <c r="G11" i="1"/>
  <c r="G12" i="1"/>
  <c r="G13" i="1"/>
  <c r="G14" i="1"/>
  <c r="G15" i="1"/>
  <c r="G8" i="1"/>
  <c r="D11" i="1"/>
  <c r="E11" i="1" s="1"/>
  <c r="D12" i="1"/>
  <c r="E12" i="1" s="1"/>
  <c r="D13" i="1"/>
  <c r="E13" i="1" s="1"/>
  <c r="D14" i="1"/>
  <c r="E14" i="1" s="1"/>
  <c r="D15" i="1"/>
  <c r="E15" i="1" s="1"/>
  <c r="D3" i="1"/>
  <c r="C3" i="6"/>
  <c r="D7" i="1" l="1"/>
  <c r="D5" i="1"/>
  <c r="G4" i="1"/>
  <c r="G5" i="1"/>
  <c r="G6" i="1"/>
  <c r="G7" i="1"/>
  <c r="G3" i="1"/>
  <c r="F4" i="1"/>
  <c r="F5" i="1"/>
  <c r="F6" i="1"/>
  <c r="F7" i="1"/>
  <c r="F3" i="1"/>
  <c r="F43" i="4"/>
  <c r="F44" i="4"/>
  <c r="F45" i="4"/>
  <c r="F46" i="4"/>
  <c r="F42" i="4"/>
  <c r="D176" i="3"/>
  <c r="G30" i="5"/>
  <c r="G32" i="5"/>
  <c r="G31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9" i="4"/>
  <c r="D3" i="4"/>
  <c r="B3" i="3"/>
  <c r="I32" i="4"/>
  <c r="H97" i="3"/>
  <c r="C97" i="3"/>
  <c r="B97" i="3"/>
  <c r="I13" i="4"/>
  <c r="H17" i="4"/>
  <c r="I17" i="4" s="1"/>
  <c r="I39" i="4"/>
  <c r="I4" i="4"/>
  <c r="I9" i="4"/>
  <c r="I10" i="4"/>
  <c r="I11" i="4"/>
  <c r="I5" i="4"/>
  <c r="I6" i="4"/>
  <c r="I7" i="4"/>
  <c r="I8" i="4"/>
  <c r="I12" i="4"/>
  <c r="I14" i="4"/>
  <c r="I15" i="4"/>
  <c r="I16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3" i="4"/>
  <c r="I34" i="4"/>
  <c r="I35" i="4"/>
  <c r="I36" i="4"/>
  <c r="I37" i="4"/>
  <c r="I3" i="4"/>
  <c r="H109" i="3"/>
  <c r="C109" i="3"/>
  <c r="B109" i="3"/>
  <c r="E42" i="4" l="1"/>
  <c r="I41" i="4"/>
  <c r="E43" i="4"/>
  <c r="G43" i="4" s="1"/>
  <c r="E46" i="4"/>
  <c r="G46" i="4" s="1"/>
  <c r="E45" i="4"/>
  <c r="G45" i="4" s="1"/>
  <c r="E44" i="4"/>
  <c r="G44" i="4" s="1"/>
  <c r="H29" i="3"/>
  <c r="C29" i="3"/>
  <c r="B29" i="3"/>
  <c r="B52" i="3"/>
  <c r="C52" i="3"/>
  <c r="H52" i="3"/>
  <c r="H107" i="3"/>
  <c r="C107" i="3"/>
  <c r="B107" i="3"/>
  <c r="H22" i="3"/>
  <c r="C22" i="3"/>
  <c r="B22" i="3"/>
  <c r="H20" i="3"/>
  <c r="C20" i="3"/>
  <c r="B20" i="3"/>
  <c r="H9" i="3"/>
  <c r="C9" i="3"/>
  <c r="B9" i="3"/>
  <c r="H17" i="3"/>
  <c r="C17" i="3"/>
  <c r="B17" i="3"/>
  <c r="H16" i="3"/>
  <c r="C16" i="3"/>
  <c r="B16" i="3"/>
  <c r="H49" i="3"/>
  <c r="C49" i="3"/>
  <c r="B49" i="3"/>
  <c r="R60" i="2"/>
  <c r="D87" i="6" s="1"/>
  <c r="H171" i="3"/>
  <c r="C171" i="3"/>
  <c r="H36" i="3"/>
  <c r="C36" i="3"/>
  <c r="B36" i="3"/>
  <c r="H35" i="3"/>
  <c r="C35" i="3"/>
  <c r="B35" i="3"/>
  <c r="H34" i="3"/>
  <c r="C34" i="3"/>
  <c r="B34" i="3"/>
  <c r="H33" i="3"/>
  <c r="C33" i="3"/>
  <c r="B33" i="3"/>
  <c r="H32" i="3"/>
  <c r="C32" i="3"/>
  <c r="B32" i="3"/>
  <c r="H31" i="3"/>
  <c r="C31" i="3"/>
  <c r="B31" i="3"/>
  <c r="H30" i="3"/>
  <c r="C30" i="3"/>
  <c r="B30" i="3"/>
  <c r="H106" i="3"/>
  <c r="C106" i="3"/>
  <c r="B106" i="3"/>
  <c r="B37" i="3"/>
  <c r="C37" i="3"/>
  <c r="H37" i="3"/>
  <c r="B38" i="3"/>
  <c r="C38" i="3"/>
  <c r="H38" i="3"/>
  <c r="B39" i="3"/>
  <c r="C39" i="3"/>
  <c r="H39" i="3"/>
  <c r="B40" i="3"/>
  <c r="C40" i="3"/>
  <c r="H40" i="3"/>
  <c r="B41" i="3"/>
  <c r="C41" i="3"/>
  <c r="H41" i="3"/>
  <c r="H108" i="3"/>
  <c r="C108" i="3"/>
  <c r="B108" i="3"/>
  <c r="H27" i="3"/>
  <c r="C27" i="3"/>
  <c r="B27" i="3"/>
  <c r="H28" i="3"/>
  <c r="C28" i="3"/>
  <c r="B28" i="3"/>
  <c r="H25" i="3"/>
  <c r="C25" i="3"/>
  <c r="B25" i="3"/>
  <c r="H59" i="3"/>
  <c r="C59" i="3"/>
  <c r="B59" i="3"/>
  <c r="H74" i="3"/>
  <c r="C74" i="3"/>
  <c r="B74" i="3"/>
  <c r="H21" i="3"/>
  <c r="C21" i="3"/>
  <c r="B21" i="3"/>
  <c r="H75" i="3"/>
  <c r="C75" i="3"/>
  <c r="B75" i="3"/>
  <c r="C67" i="2"/>
  <c r="C68" i="2"/>
  <c r="C69" i="2"/>
  <c r="C70" i="2"/>
  <c r="H112" i="3"/>
  <c r="C112" i="3"/>
  <c r="B112" i="3"/>
  <c r="R59" i="2"/>
  <c r="D86" i="6" s="1"/>
  <c r="H148" i="3"/>
  <c r="C148" i="3"/>
  <c r="B148" i="3"/>
  <c r="E3" i="2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H116" i="3"/>
  <c r="C116" i="3"/>
  <c r="B116" i="3"/>
  <c r="H18" i="3"/>
  <c r="C18" i="3"/>
  <c r="B18" i="3"/>
  <c r="H62" i="3"/>
  <c r="C62" i="3"/>
  <c r="B62" i="3"/>
  <c r="H14" i="3"/>
  <c r="C14" i="3"/>
  <c r="B14" i="3"/>
  <c r="H15" i="3"/>
  <c r="C15" i="3"/>
  <c r="B15" i="3"/>
  <c r="H13" i="3"/>
  <c r="C13" i="3"/>
  <c r="B13" i="3"/>
  <c r="H12" i="3"/>
  <c r="C12" i="3"/>
  <c r="B12" i="3"/>
  <c r="H10" i="3"/>
  <c r="C10" i="3"/>
  <c r="B10" i="3"/>
  <c r="H45" i="3"/>
  <c r="C45" i="3"/>
  <c r="B45" i="3"/>
  <c r="H43" i="3"/>
  <c r="C43" i="3"/>
  <c r="B43" i="3"/>
  <c r="C7" i="9"/>
  <c r="H3" i="3"/>
  <c r="H4" i="3"/>
  <c r="H73" i="3"/>
  <c r="H149" i="3"/>
  <c r="H5" i="3"/>
  <c r="H6" i="3"/>
  <c r="H42" i="3"/>
  <c r="H7" i="3"/>
  <c r="H8" i="3"/>
  <c r="H55" i="3"/>
  <c r="H86" i="3"/>
  <c r="H134" i="3"/>
  <c r="H150" i="3"/>
  <c r="H151" i="3"/>
  <c r="H11" i="3"/>
  <c r="H153" i="3"/>
  <c r="H44" i="3"/>
  <c r="H70" i="3"/>
  <c r="H69" i="3"/>
  <c r="H77" i="3"/>
  <c r="H54" i="3"/>
  <c r="H154" i="3"/>
  <c r="H53" i="3"/>
  <c r="H68" i="3"/>
  <c r="H56" i="3"/>
  <c r="H57" i="3"/>
  <c r="H63" i="3"/>
  <c r="H58" i="3"/>
  <c r="H46" i="3"/>
  <c r="H155" i="3"/>
  <c r="H64" i="3"/>
  <c r="H87" i="3"/>
  <c r="Q3" i="3"/>
  <c r="M3" i="3"/>
  <c r="C3" i="3"/>
  <c r="C4" i="3"/>
  <c r="B4" i="3"/>
  <c r="C5" i="3"/>
  <c r="B5" i="3"/>
  <c r="C6" i="3"/>
  <c r="B6" i="3"/>
  <c r="C4" i="9"/>
  <c r="C5" i="9"/>
  <c r="C6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3" i="9"/>
  <c r="C4" i="6"/>
  <c r="C5" i="6"/>
  <c r="C6" i="6"/>
  <c r="C7" i="6"/>
  <c r="C8" i="6"/>
  <c r="C9" i="6"/>
  <c r="C11" i="6"/>
  <c r="C13" i="6"/>
  <c r="C15" i="6"/>
  <c r="C18" i="6"/>
  <c r="C19" i="6"/>
  <c r="C20" i="6"/>
  <c r="C22" i="6"/>
  <c r="C24" i="6"/>
  <c r="C25" i="6"/>
  <c r="C26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7" i="6"/>
  <c r="C48" i="6"/>
  <c r="C49" i="6"/>
  <c r="C50" i="6"/>
  <c r="C51" i="6"/>
  <c r="C53" i="6"/>
  <c r="C54" i="6"/>
  <c r="C55" i="6"/>
  <c r="C56" i="6"/>
  <c r="C57" i="6"/>
  <c r="C58" i="6"/>
  <c r="C59" i="6"/>
  <c r="C62" i="6"/>
  <c r="C63" i="6"/>
  <c r="C64" i="6"/>
  <c r="C65" i="6"/>
  <c r="C66" i="6"/>
  <c r="C67" i="6"/>
  <c r="C68" i="6"/>
  <c r="C69" i="6"/>
  <c r="C3" i="7"/>
  <c r="C4" i="7"/>
  <c r="C5" i="7"/>
  <c r="C6" i="7"/>
  <c r="C7" i="7"/>
  <c r="C8" i="7"/>
  <c r="C9" i="7"/>
  <c r="C10" i="7"/>
  <c r="C12" i="7"/>
  <c r="C13" i="7"/>
  <c r="C14" i="7"/>
  <c r="C15" i="7"/>
  <c r="C16" i="7"/>
  <c r="C17" i="7"/>
  <c r="C18" i="7"/>
  <c r="C20" i="7"/>
  <c r="C21" i="7"/>
  <c r="C22" i="7"/>
  <c r="C25" i="7"/>
  <c r="C26" i="7"/>
  <c r="C27" i="7"/>
  <c r="C29" i="7"/>
  <c r="C30" i="7"/>
  <c r="C31" i="7"/>
  <c r="C32" i="7"/>
  <c r="C33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8" i="7"/>
  <c r="C139" i="7"/>
  <c r="C140" i="7"/>
  <c r="C141" i="7"/>
  <c r="C142" i="7"/>
  <c r="C143" i="7"/>
  <c r="C144" i="7"/>
  <c r="C145" i="7"/>
  <c r="C146" i="7"/>
  <c r="C147" i="7"/>
  <c r="C148" i="7"/>
  <c r="R58" i="2" l="1"/>
  <c r="R57" i="2"/>
  <c r="D81" i="6" s="1"/>
  <c r="R55" i="2"/>
  <c r="D78" i="6" s="1"/>
  <c r="O3" i="3"/>
  <c r="G42" i="4"/>
  <c r="G47" i="4" s="1"/>
  <c r="E47" i="4"/>
  <c r="D82" i="6" l="1"/>
  <c r="D83" i="6"/>
  <c r="D85" i="6"/>
  <c r="D84" i="6"/>
  <c r="F47" i="4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3" i="2"/>
  <c r="P20" i="10"/>
  <c r="P12" i="10"/>
  <c r="P13" i="10"/>
  <c r="P14" i="10"/>
  <c r="P15" i="10"/>
  <c r="P16" i="10"/>
  <c r="P6" i="10"/>
  <c r="P17" i="10"/>
  <c r="P21" i="10"/>
  <c r="P18" i="10"/>
  <c r="P7" i="10"/>
  <c r="P19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8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9" i="10"/>
  <c r="P10" i="10"/>
  <c r="P11" i="10"/>
  <c r="C73" i="3"/>
  <c r="H79" i="3" l="1"/>
  <c r="C79" i="3"/>
  <c r="B79" i="3"/>
  <c r="H78" i="3"/>
  <c r="C78" i="3"/>
  <c r="B78" i="3"/>
  <c r="C57" i="3"/>
  <c r="B57" i="3"/>
  <c r="R4" i="2"/>
  <c r="D4" i="6" s="1"/>
  <c r="R6" i="2"/>
  <c r="R7" i="2"/>
  <c r="D8" i="6" s="1"/>
  <c r="R8" i="2"/>
  <c r="D9" i="6" s="1"/>
  <c r="R9" i="2"/>
  <c r="D10" i="6" s="1"/>
  <c r="R11" i="2"/>
  <c r="R15" i="2"/>
  <c r="R61" i="2"/>
  <c r="R20" i="2"/>
  <c r="R22" i="2"/>
  <c r="D36" i="6" s="1"/>
  <c r="R23" i="2"/>
  <c r="R24" i="2"/>
  <c r="D39" i="6" s="1"/>
  <c r="R25" i="2"/>
  <c r="D40" i="6" s="1"/>
  <c r="R27" i="2"/>
  <c r="D42" i="6" s="1"/>
  <c r="R28" i="2"/>
  <c r="R29" i="2"/>
  <c r="R30" i="2"/>
  <c r="D47" i="6" s="1"/>
  <c r="R31" i="2"/>
  <c r="D48" i="6" s="1"/>
  <c r="R32" i="2"/>
  <c r="D49" i="6" s="1"/>
  <c r="R33" i="2"/>
  <c r="D50" i="6" s="1"/>
  <c r="R34" i="2"/>
  <c r="D51" i="6" s="1"/>
  <c r="R35" i="2"/>
  <c r="D52" i="6" s="1"/>
  <c r="R36" i="2"/>
  <c r="D53" i="6" s="1"/>
  <c r="R38" i="2"/>
  <c r="D55" i="6" s="1"/>
  <c r="R39" i="2"/>
  <c r="D56" i="6" s="1"/>
  <c r="R40" i="2"/>
  <c r="D57" i="6" s="1"/>
  <c r="R41" i="2"/>
  <c r="D58" i="6" s="1"/>
  <c r="R42" i="2"/>
  <c r="D59" i="6" s="1"/>
  <c r="R43" i="2"/>
  <c r="D60" i="6" s="1"/>
  <c r="R46" i="2"/>
  <c r="R48" i="2"/>
  <c r="D69" i="6" s="1"/>
  <c r="R49" i="2"/>
  <c r="D70" i="6" s="1"/>
  <c r="R51" i="2"/>
  <c r="D74" i="6" s="1"/>
  <c r="R52" i="2"/>
  <c r="D75" i="6" s="1"/>
  <c r="R53" i="2"/>
  <c r="D76" i="6" s="1"/>
  <c r="R54" i="2"/>
  <c r="D77" i="6" s="1"/>
  <c r="R56" i="2"/>
  <c r="C8" i="3"/>
  <c r="B8" i="3"/>
  <c r="C55" i="3"/>
  <c r="B55" i="3"/>
  <c r="B149" i="3"/>
  <c r="C149" i="3"/>
  <c r="B42" i="3"/>
  <c r="C42" i="3"/>
  <c r="B7" i="3"/>
  <c r="C7" i="3"/>
  <c r="B86" i="3"/>
  <c r="C86" i="3"/>
  <c r="B134" i="3"/>
  <c r="C134" i="3"/>
  <c r="B150" i="3"/>
  <c r="C150" i="3"/>
  <c r="B151" i="3"/>
  <c r="C151" i="3"/>
  <c r="B11" i="3"/>
  <c r="C11" i="3"/>
  <c r="B153" i="3"/>
  <c r="C153" i="3"/>
  <c r="B44" i="3"/>
  <c r="C44" i="3"/>
  <c r="B70" i="3"/>
  <c r="C70" i="3"/>
  <c r="B69" i="3"/>
  <c r="C69" i="3"/>
  <c r="B77" i="3"/>
  <c r="C77" i="3"/>
  <c r="B54" i="3"/>
  <c r="C54" i="3"/>
  <c r="B154" i="3"/>
  <c r="C154" i="3"/>
  <c r="B53" i="3"/>
  <c r="C53" i="3"/>
  <c r="B68" i="3"/>
  <c r="C68" i="3"/>
  <c r="B56" i="3"/>
  <c r="C56" i="3"/>
  <c r="B63" i="3"/>
  <c r="C63" i="3"/>
  <c r="B58" i="3"/>
  <c r="C58" i="3"/>
  <c r="B46" i="3"/>
  <c r="C46" i="3"/>
  <c r="B155" i="3"/>
  <c r="C155" i="3"/>
  <c r="B64" i="3"/>
  <c r="C64" i="3"/>
  <c r="B87" i="3"/>
  <c r="C87" i="3"/>
  <c r="B156" i="3"/>
  <c r="C156" i="3"/>
  <c r="B124" i="3"/>
  <c r="C124" i="3"/>
  <c r="B125" i="3"/>
  <c r="C125" i="3"/>
  <c r="B117" i="3"/>
  <c r="C117" i="3"/>
  <c r="B19" i="3"/>
  <c r="C19" i="3"/>
  <c r="B47" i="3"/>
  <c r="C47" i="3"/>
  <c r="B72" i="3"/>
  <c r="C72" i="3"/>
  <c r="B67" i="3"/>
  <c r="C67" i="3"/>
  <c r="B88" i="3"/>
  <c r="C88" i="3"/>
  <c r="B118" i="3"/>
  <c r="C118" i="3"/>
  <c r="B103" i="3"/>
  <c r="C103" i="3"/>
  <c r="B157" i="3"/>
  <c r="C157" i="3"/>
  <c r="B158" i="3"/>
  <c r="C158" i="3"/>
  <c r="B159" i="3"/>
  <c r="C159" i="3"/>
  <c r="B160" i="3"/>
  <c r="C160" i="3"/>
  <c r="B48" i="3"/>
  <c r="C48" i="3"/>
  <c r="B135" i="3"/>
  <c r="C135" i="3"/>
  <c r="B104" i="3"/>
  <c r="C104" i="3"/>
  <c r="B80" i="3"/>
  <c r="C80" i="3"/>
  <c r="B81" i="3"/>
  <c r="C81" i="3"/>
  <c r="B89" i="3"/>
  <c r="C89" i="3"/>
  <c r="B60" i="3"/>
  <c r="C60" i="3"/>
  <c r="B71" i="3"/>
  <c r="C71" i="3"/>
  <c r="B99" i="3"/>
  <c r="C99" i="3"/>
  <c r="B161" i="3"/>
  <c r="C161" i="3"/>
  <c r="B50" i="3"/>
  <c r="B61" i="3"/>
  <c r="C61" i="3"/>
  <c r="B129" i="3"/>
  <c r="C129" i="3"/>
  <c r="B130" i="3"/>
  <c r="C130" i="3"/>
  <c r="B136" i="3"/>
  <c r="C136" i="3"/>
  <c r="B105" i="3"/>
  <c r="C105" i="3"/>
  <c r="B83" i="3"/>
  <c r="C83" i="3"/>
  <c r="B146" i="3"/>
  <c r="C146" i="3"/>
  <c r="B126" i="3"/>
  <c r="C126" i="3"/>
  <c r="B162" i="3"/>
  <c r="C162" i="3"/>
  <c r="B163" i="3"/>
  <c r="C163" i="3"/>
  <c r="B90" i="3"/>
  <c r="B152" i="3"/>
  <c r="C152" i="3"/>
  <c r="B65" i="3"/>
  <c r="C65" i="3"/>
  <c r="B76" i="3"/>
  <c r="C76" i="3"/>
  <c r="B66" i="3"/>
  <c r="C66" i="3"/>
  <c r="B131" i="3"/>
  <c r="C131" i="3"/>
  <c r="B91" i="3"/>
  <c r="C91" i="3"/>
  <c r="B92" i="3"/>
  <c r="C92" i="3"/>
  <c r="B93" i="3"/>
  <c r="C93" i="3"/>
  <c r="B94" i="3"/>
  <c r="C94" i="3"/>
  <c r="B95" i="3"/>
  <c r="C95" i="3"/>
  <c r="B119" i="3"/>
  <c r="C119" i="3"/>
  <c r="B164" i="3"/>
  <c r="C164" i="3"/>
  <c r="B165" i="3"/>
  <c r="C165" i="3"/>
  <c r="B96" i="3"/>
  <c r="C96" i="3"/>
  <c r="B166" i="3"/>
  <c r="C166" i="3"/>
  <c r="B132" i="3"/>
  <c r="C132" i="3"/>
  <c r="B167" i="3"/>
  <c r="C167" i="3"/>
  <c r="B147" i="3"/>
  <c r="C147" i="3"/>
  <c r="B23" i="3"/>
  <c r="C23" i="3"/>
  <c r="B24" i="3"/>
  <c r="C24" i="3"/>
  <c r="B120" i="3"/>
  <c r="C120" i="3"/>
  <c r="B98" i="3"/>
  <c r="C98" i="3"/>
  <c r="B115" i="3"/>
  <c r="C115" i="3"/>
  <c r="B127" i="3"/>
  <c r="C127" i="3"/>
  <c r="B128" i="3"/>
  <c r="C128" i="3"/>
  <c r="B168" i="3"/>
  <c r="C168" i="3"/>
  <c r="B169" i="3"/>
  <c r="C169" i="3"/>
  <c r="B26" i="3"/>
  <c r="C26" i="3"/>
  <c r="B133" i="3"/>
  <c r="C133" i="3"/>
  <c r="B51" i="3"/>
  <c r="C51" i="3"/>
  <c r="B170" i="3"/>
  <c r="C170" i="3"/>
  <c r="B73" i="3"/>
  <c r="D177" i="3"/>
  <c r="D179" i="3"/>
  <c r="D178" i="3"/>
  <c r="E67" i="2"/>
  <c r="E68" i="2"/>
  <c r="E69" i="2"/>
  <c r="E70" i="2"/>
  <c r="H156" i="3"/>
  <c r="H124" i="3"/>
  <c r="H125" i="3"/>
  <c r="H117" i="3"/>
  <c r="H19" i="3"/>
  <c r="H47" i="3"/>
  <c r="H72" i="3"/>
  <c r="H67" i="3"/>
  <c r="H84" i="3"/>
  <c r="H88" i="3"/>
  <c r="H118" i="3"/>
  <c r="H103" i="3"/>
  <c r="H157" i="3"/>
  <c r="H158" i="3"/>
  <c r="H159" i="3"/>
  <c r="H160" i="3"/>
  <c r="H48" i="3"/>
  <c r="H104" i="3"/>
  <c r="H80" i="3"/>
  <c r="H89" i="3"/>
  <c r="H60" i="3"/>
  <c r="H71" i="3"/>
  <c r="H99" i="3"/>
  <c r="H161" i="3"/>
  <c r="H50" i="3"/>
  <c r="H61" i="3"/>
  <c r="H129" i="3"/>
  <c r="H130" i="3"/>
  <c r="H136" i="3"/>
  <c r="H105" i="3"/>
  <c r="H83" i="3"/>
  <c r="H146" i="3"/>
  <c r="H126" i="3"/>
  <c r="H162" i="3"/>
  <c r="H163" i="3"/>
  <c r="H90" i="3"/>
  <c r="H152" i="3"/>
  <c r="H65" i="3"/>
  <c r="H76" i="3"/>
  <c r="H66" i="3"/>
  <c r="H131" i="3"/>
  <c r="H91" i="3"/>
  <c r="H92" i="3"/>
  <c r="H93" i="3"/>
  <c r="H94" i="3"/>
  <c r="H95" i="3"/>
  <c r="H119" i="3"/>
  <c r="H164" i="3"/>
  <c r="H165" i="3"/>
  <c r="H96" i="3"/>
  <c r="H166" i="3"/>
  <c r="H132" i="3"/>
  <c r="H167" i="3"/>
  <c r="H147" i="3"/>
  <c r="H23" i="3"/>
  <c r="H24" i="3"/>
  <c r="H120" i="3"/>
  <c r="H98" i="3"/>
  <c r="H115" i="3"/>
  <c r="H127" i="3"/>
  <c r="H128" i="3"/>
  <c r="H168" i="3"/>
  <c r="H169" i="3"/>
  <c r="H26" i="3"/>
  <c r="H133" i="3"/>
  <c r="H51" i="3"/>
  <c r="H170" i="3"/>
  <c r="G135" i="3"/>
  <c r="H135" i="3" s="1"/>
  <c r="B2" i="3"/>
  <c r="C2" i="3" s="1"/>
  <c r="H176" i="3" l="1"/>
  <c r="H175" i="3"/>
  <c r="C178" i="3"/>
  <c r="E178" i="3" s="1"/>
  <c r="H178" i="3"/>
  <c r="F179" i="3"/>
  <c r="H177" i="3"/>
  <c r="C177" i="3"/>
  <c r="E177" i="3" s="1"/>
  <c r="F175" i="3"/>
  <c r="H179" i="3"/>
  <c r="F177" i="3"/>
  <c r="F178" i="3"/>
  <c r="F176" i="3"/>
  <c r="C175" i="3"/>
  <c r="C176" i="3"/>
  <c r="E176" i="3" s="1"/>
  <c r="C179" i="3"/>
  <c r="E179" i="3" s="1"/>
  <c r="C191" i="3"/>
  <c r="C192" i="3"/>
  <c r="C190" i="3"/>
  <c r="D80" i="6"/>
  <c r="D79" i="6"/>
  <c r="D46" i="6"/>
  <c r="D45" i="6"/>
  <c r="D37" i="6"/>
  <c r="D38" i="6"/>
  <c r="D33" i="6"/>
  <c r="D32" i="6"/>
  <c r="D6" i="6"/>
  <c r="D7" i="6"/>
  <c r="D17" i="6"/>
  <c r="D15" i="6"/>
  <c r="D16" i="6"/>
  <c r="D89" i="6"/>
  <c r="D88" i="6"/>
  <c r="D43" i="6"/>
  <c r="D44" i="6"/>
  <c r="D66" i="6"/>
  <c r="D67" i="6"/>
  <c r="D23" i="6"/>
  <c r="D24" i="6"/>
  <c r="R14" i="2"/>
  <c r="D22" i="6" s="1"/>
  <c r="R13" i="2"/>
  <c r="R18" i="2"/>
  <c r="D28" i="6" s="1"/>
  <c r="R16" i="2"/>
  <c r="R5" i="2"/>
  <c r="D5" i="6" s="1"/>
  <c r="R10" i="2"/>
  <c r="R12" i="2"/>
  <c r="R26" i="2"/>
  <c r="D41" i="6" s="1"/>
  <c r="R19" i="2"/>
  <c r="R3" i="2"/>
  <c r="D3" i="6" s="1"/>
  <c r="R50" i="2"/>
  <c r="R45" i="2"/>
  <c r="R47" i="2"/>
  <c r="D68" i="6" s="1"/>
  <c r="R21" i="2"/>
  <c r="R44" i="2"/>
  <c r="R37" i="2"/>
  <c r="D54" i="6" s="1"/>
  <c r="R17" i="2"/>
  <c r="D27" i="6" s="1"/>
  <c r="O179" i="3"/>
  <c r="E16" i="4"/>
  <c r="C27" i="4"/>
  <c r="C16" i="4"/>
  <c r="C35" i="4"/>
  <c r="E30" i="4"/>
  <c r="C34" i="4"/>
  <c r="E31" i="4"/>
  <c r="C33" i="4"/>
  <c r="C30" i="4"/>
  <c r="E33" i="4"/>
  <c r="C28" i="4"/>
  <c r="C31" i="4"/>
  <c r="E27" i="4"/>
  <c r="E28" i="4"/>
  <c r="E35" i="4"/>
  <c r="E34" i="4"/>
  <c r="C71" i="2"/>
  <c r="E66" i="2"/>
  <c r="E71" i="2" s="1"/>
  <c r="D39" i="7"/>
  <c r="D60" i="7"/>
  <c r="C180" i="3" l="1"/>
  <c r="E175" i="3"/>
  <c r="E180" i="3" s="1"/>
  <c r="F180" i="3"/>
  <c r="D72" i="6"/>
  <c r="D71" i="6"/>
  <c r="D73" i="6"/>
  <c r="D20" i="6"/>
  <c r="D21" i="6"/>
  <c r="D61" i="6"/>
  <c r="D62" i="6"/>
  <c r="D63" i="6"/>
  <c r="D19" i="6"/>
  <c r="D18" i="6"/>
  <c r="D35" i="6"/>
  <c r="D34" i="6"/>
  <c r="D11" i="6"/>
  <c r="D13" i="6"/>
  <c r="D12" i="6"/>
  <c r="D14" i="6"/>
  <c r="D30" i="6"/>
  <c r="D29" i="6"/>
  <c r="D31" i="6"/>
  <c r="D65" i="6"/>
  <c r="D64" i="6"/>
  <c r="D26" i="6"/>
  <c r="D25" i="6"/>
  <c r="I175" i="3"/>
  <c r="N6" i="1" s="1"/>
  <c r="D143" i="7"/>
  <c r="C193" i="3"/>
  <c r="D192" i="3" s="1"/>
  <c r="D187" i="3"/>
  <c r="H180" i="3"/>
  <c r="G175" i="3"/>
  <c r="D153" i="7"/>
  <c r="D142" i="7"/>
  <c r="D119" i="7"/>
  <c r="D151" i="7"/>
  <c r="D152" i="7"/>
  <c r="D148" i="7"/>
  <c r="D147" i="7"/>
  <c r="D145" i="7"/>
  <c r="D139" i="7"/>
  <c r="D138" i="7"/>
  <c r="D135" i="7"/>
  <c r="D141" i="7"/>
  <c r="D118" i="7"/>
  <c r="D144" i="7"/>
  <c r="D140" i="7"/>
  <c r="D146" i="7"/>
  <c r="D74" i="7"/>
  <c r="D136" i="7"/>
  <c r="D137" i="7"/>
  <c r="D28" i="7"/>
  <c r="D26" i="7"/>
  <c r="D27" i="7"/>
  <c r="D106" i="7"/>
  <c r="D107" i="7"/>
  <c r="D12" i="7"/>
  <c r="D13" i="7"/>
  <c r="D86" i="7"/>
  <c r="D85" i="7"/>
  <c r="D88" i="7"/>
  <c r="D112" i="7"/>
  <c r="D111" i="7"/>
  <c r="D52" i="7"/>
  <c r="D54" i="7"/>
  <c r="D53" i="7"/>
  <c r="D51" i="7"/>
  <c r="D49" i="7"/>
  <c r="D50" i="7"/>
  <c r="D48" i="7"/>
  <c r="D6" i="7"/>
  <c r="D8" i="7"/>
  <c r="D9" i="7"/>
  <c r="D10" i="7"/>
  <c r="D11" i="7"/>
  <c r="D7" i="7"/>
  <c r="D132" i="7"/>
  <c r="D134" i="7"/>
  <c r="D133" i="7"/>
  <c r="D108" i="7"/>
  <c r="D109" i="7"/>
  <c r="D116" i="7"/>
  <c r="D113" i="7"/>
  <c r="D114" i="7"/>
  <c r="D115" i="7"/>
  <c r="D87" i="7"/>
  <c r="D63" i="7"/>
  <c r="D64" i="7"/>
  <c r="D61" i="7"/>
  <c r="D62" i="7"/>
  <c r="D66" i="7"/>
  <c r="D65" i="7"/>
  <c r="D130" i="7"/>
  <c r="D36" i="7"/>
  <c r="D37" i="7"/>
  <c r="D35" i="7"/>
  <c r="D16" i="7"/>
  <c r="D17" i="7"/>
  <c r="D44" i="7"/>
  <c r="D47" i="7"/>
  <c r="D40" i="7"/>
  <c r="D45" i="7"/>
  <c r="D46" i="7"/>
  <c r="D42" i="7"/>
  <c r="D43" i="7"/>
  <c r="D41" i="7"/>
  <c r="D124" i="7"/>
  <c r="D125" i="7"/>
  <c r="D4" i="7"/>
  <c r="D5" i="7"/>
  <c r="D3" i="7"/>
  <c r="D102" i="7"/>
  <c r="D95" i="7"/>
  <c r="D96" i="7"/>
  <c r="D70" i="7"/>
  <c r="D73" i="7"/>
  <c r="D71" i="7"/>
  <c r="D72" i="7"/>
  <c r="D100" i="7"/>
  <c r="D101" i="7"/>
  <c r="D97" i="7"/>
  <c r="D98" i="7"/>
  <c r="D99" i="7"/>
  <c r="D103" i="7"/>
  <c r="D104" i="7"/>
  <c r="D105" i="7"/>
  <c r="D110" i="7"/>
  <c r="D67" i="7"/>
  <c r="D76" i="7"/>
  <c r="D75" i="7"/>
  <c r="D57" i="7"/>
  <c r="D55" i="7"/>
  <c r="D56" i="7"/>
  <c r="D58" i="7"/>
  <c r="D59" i="7"/>
  <c r="D84" i="7"/>
  <c r="D81" i="7"/>
  <c r="D78" i="7"/>
  <c r="D79" i="7"/>
  <c r="D80" i="7"/>
  <c r="D82" i="7"/>
  <c r="D83" i="7"/>
  <c r="D127" i="7"/>
  <c r="D18" i="7"/>
  <c r="D19" i="7"/>
  <c r="D77" i="7"/>
  <c r="D120" i="7"/>
  <c r="D121" i="7"/>
  <c r="D122" i="7"/>
  <c r="D123" i="7"/>
  <c r="D131" i="7"/>
  <c r="D90" i="7"/>
  <c r="D91" i="7"/>
  <c r="D89" i="7"/>
  <c r="D117" i="7"/>
  <c r="D20" i="7"/>
  <c r="D22" i="7"/>
  <c r="D23" i="7"/>
  <c r="D21" i="7"/>
  <c r="D24" i="7"/>
  <c r="D25" i="7"/>
  <c r="D128" i="7"/>
  <c r="D129" i="7"/>
  <c r="D92" i="7"/>
  <c r="D93" i="7"/>
  <c r="D94" i="7"/>
  <c r="D68" i="7"/>
  <c r="D69" i="7"/>
  <c r="D126" i="7"/>
  <c r="D14" i="7"/>
  <c r="D15" i="7"/>
  <c r="D38" i="7"/>
  <c r="D32" i="7"/>
  <c r="D33" i="7"/>
  <c r="D29" i="7"/>
  <c r="D30" i="7"/>
  <c r="D31" i="7"/>
  <c r="D34" i="7"/>
  <c r="D150" i="7"/>
  <c r="D149" i="7"/>
  <c r="I176" i="3"/>
  <c r="N3" i="1" s="1"/>
  <c r="G177" i="3"/>
  <c r="I177" i="3"/>
  <c r="N4" i="1" s="1"/>
  <c r="I178" i="3"/>
  <c r="N7" i="1" s="1"/>
  <c r="I179" i="3"/>
  <c r="N5" i="1" s="1"/>
  <c r="G179" i="3"/>
  <c r="G178" i="3"/>
  <c r="G176" i="3"/>
  <c r="D71" i="2"/>
  <c r="F8" i="1" s="1"/>
  <c r="G69" i="2"/>
  <c r="F69" i="2" s="1"/>
  <c r="G70" i="2"/>
  <c r="F70" i="2" s="1"/>
  <c r="G67" i="2"/>
  <c r="F67" i="2" s="1"/>
  <c r="G66" i="2"/>
  <c r="F66" i="2" s="1"/>
  <c r="G68" i="2"/>
  <c r="F68" i="2" s="1"/>
  <c r="D191" i="3" l="1"/>
  <c r="E102" i="6"/>
  <c r="F102" i="6" s="1"/>
  <c r="E110" i="6"/>
  <c r="F110" i="6" s="1"/>
  <c r="E109" i="6"/>
  <c r="F109" i="6" s="1"/>
  <c r="D190" i="3"/>
  <c r="I180" i="3"/>
  <c r="D180" i="3"/>
  <c r="G180" i="3"/>
  <c r="E107" i="6"/>
  <c r="F107" i="6" s="1"/>
  <c r="N14" i="1" s="1"/>
  <c r="E103" i="6"/>
  <c r="E106" i="6"/>
  <c r="F106" i="6" s="1"/>
  <c r="N13" i="1" s="1"/>
  <c r="E108" i="6"/>
  <c r="F108" i="6" s="1"/>
  <c r="N15" i="1" s="1"/>
  <c r="E105" i="6"/>
  <c r="F105" i="6" s="1"/>
  <c r="N12" i="1" s="1"/>
  <c r="E104" i="6"/>
  <c r="F104" i="6" s="1"/>
  <c r="N11" i="1" s="1"/>
  <c r="E111" i="6"/>
  <c r="F111" i="6" s="1"/>
  <c r="G71" i="2"/>
  <c r="F71" i="2" s="1"/>
  <c r="N8" i="1" s="1"/>
  <c r="D193" i="3" l="1"/>
  <c r="F103" i="6"/>
  <c r="N10" i="1" s="1"/>
  <c r="E4" i="4"/>
  <c r="E10" i="4"/>
  <c r="C4" i="4"/>
  <c r="C10" i="4"/>
  <c r="C39" i="4"/>
  <c r="C32" i="4"/>
  <c r="C15" i="4"/>
  <c r="C5" i="4"/>
  <c r="E22" i="4"/>
  <c r="C11" i="4"/>
  <c r="C12" i="4"/>
  <c r="C7" i="4"/>
  <c r="C21" i="4"/>
  <c r="E36" i="4"/>
  <c r="C17" i="4"/>
  <c r="E7" i="4"/>
  <c r="E13" i="4"/>
  <c r="C8" i="4"/>
  <c r="E17" i="4"/>
  <c r="E38" i="4"/>
  <c r="E18" i="4"/>
  <c r="E15" i="4"/>
  <c r="E23" i="4"/>
  <c r="E26" i="4"/>
  <c r="E32" i="4"/>
  <c r="E8" i="4"/>
  <c r="E39" i="4"/>
  <c r="E6" i="4"/>
  <c r="C6" i="4"/>
  <c r="E24" i="4"/>
  <c r="E9" i="4"/>
  <c r="E21" i="4"/>
  <c r="E11" i="4"/>
  <c r="C18" i="4"/>
  <c r="C22" i="4"/>
  <c r="C14" i="4"/>
  <c r="C19" i="4"/>
  <c r="C24" i="4"/>
  <c r="E12" i="4"/>
  <c r="E19" i="4"/>
  <c r="E37" i="4"/>
  <c r="C29" i="4"/>
  <c r="C25" i="4"/>
  <c r="C23" i="4"/>
  <c r="C20" i="4"/>
  <c r="E20" i="4"/>
  <c r="C13" i="4"/>
  <c r="C38" i="4"/>
  <c r="E5" i="4"/>
  <c r="C26" i="4"/>
  <c r="E25" i="4"/>
  <c r="C36" i="4"/>
  <c r="E14" i="4"/>
  <c r="E29" i="4"/>
  <c r="C9" i="4"/>
  <c r="C37" i="4"/>
  <c r="E112" i="6"/>
  <c r="F112" i="6" s="1"/>
  <c r="E51" i="4" l="1"/>
  <c r="E50" i="4"/>
</calcChain>
</file>

<file path=xl/comments1.xml><?xml version="1.0" encoding="utf-8"?>
<comments xmlns="http://schemas.openxmlformats.org/spreadsheetml/2006/main">
  <authors>
    <author>Marcelo Augusto Pedreira Xavier</author>
  </authors>
  <commentList>
    <comment ref="P44" authorId="0">
      <text>
        <r>
          <rPr>
            <b/>
            <sz val="9"/>
            <color indexed="81"/>
            <rFont val="Tahoma"/>
            <family val="2"/>
          </rPr>
          <t>Marcelo Augusto Pedreira Xavier:</t>
        </r>
        <r>
          <rPr>
            <sz val="9"/>
            <color indexed="81"/>
            <rFont val="Tahoma"/>
            <family val="2"/>
          </rPr>
          <t xml:space="preserve">
Contabilizado na ação A57.07</t>
        </r>
      </text>
    </comment>
    <comment ref="P55" authorId="0">
      <text>
        <r>
          <rPr>
            <b/>
            <sz val="9"/>
            <color indexed="81"/>
            <rFont val="Tahoma"/>
            <family val="2"/>
          </rPr>
          <t>Marcelo Augusto Pedreira Xavier:</t>
        </r>
        <r>
          <rPr>
            <sz val="9"/>
            <color indexed="81"/>
            <rFont val="Tahoma"/>
            <family val="2"/>
          </rPr>
          <t xml:space="preserve">
Contabilizado na ação A57.05</t>
        </r>
      </text>
    </comment>
    <comment ref="P112" authorId="0">
      <text>
        <r>
          <rPr>
            <b/>
            <sz val="9"/>
            <color indexed="81"/>
            <rFont val="Tahoma"/>
            <family val="2"/>
          </rPr>
          <t>Marcelo Augusto Pedreira Xavier:</t>
        </r>
        <r>
          <rPr>
            <sz val="9"/>
            <color indexed="81"/>
            <rFont val="Tahoma"/>
            <family val="2"/>
          </rPr>
          <t xml:space="preserve">
SOLUTI  R$ 310,00
WORK VIX   R$ 62.720,00
TECNOCOM TECNOLOGIA WIRELESS R$ 26.668,67
TECNOCOM TECNOLOGIA CFTV – NOVA SEDE. R$ 129.772,66
TECHNOLOGY SUPLLYINFORMÁTICA RENOVAÇÃO ACL R$ 3.430,29
IT-ONE - REDE SAN - 93.000,00
INFO2001 - MEMÓRIAS - REDE SAN - R$ 35.000,00
TECNO-IT - SWITCHES - R$ 164.213,50
SOLUTI R$ 2.480,00
RENATA CAROLINA - CATRACAS - R$ 74.214,23
ORACLE R$ 8.500,44</t>
        </r>
      </text>
    </comment>
  </commentList>
</comments>
</file>

<file path=xl/comments2.xml><?xml version="1.0" encoding="utf-8"?>
<comments xmlns="http://schemas.openxmlformats.org/spreadsheetml/2006/main">
  <authors>
    <author>Marcelo Augusto Pedreira Xavier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QATC-4: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quatro critérios são cumpridos
Pontuação = 2: dois critérios são cumpridos
Pontuação = 1: um critério é cumprido
Pontuação = 0: nenhum critério é cumprido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QATC-4: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quatro critérios são cumpridos
Pontuação = 2: dois critérios são cumpridos
Pontuação = 1: um critério é cumprido
Pontuação = 0: nenhum critério é cumprido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QATC-4: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quatro critérios são cumpridos
Pontuação = 2: dois critérios são cumpridos
Pontuação = 1: um critério é cumprido
Pontuação = 0: nenhum critério é cumprido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QATC-4: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quatro critérios são cumpridos
Pontuação = 2: dois critérios são cumpridos
Pontuação = 1: um critério é cumprido
Pontuação = 0: nenhum critério é cumprido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QATC-4: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quatro critérios são cumpridos
Pontuação = 2: dois critérios são cumpridos
Pontuação = 1: um critério é cumprido
Pontuação = 0: nenhum critério é cumprido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QATC-7: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trêscritérios são cumpridos
Pontuação = 2: dois critérios são cumpridos
Pontuação = 1: um critério é cumprido
Pontuação = 0: nenhum critério é cumprido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QATC-7: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trêscritérios são cumpridos
Pontuação = 2: dois critérios são cumpridos
Pontuação = 1: um critério é cumprido
Pontuação = 0: nenhum critério é cumprido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QATC-10: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os critérios “a”, “b”, “e”, “f” e “i” são cumpridos
Pontuação = 2: cinco dos critérios acima são cumpridos
Pontuação = 1: três dos critérios acima é cumprido
Pontuação = 0: apenas dois dos critérios acima são cumpridos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QATC-11: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três critérios são cumpridos
Pontuação = 2: dois dos critérios são cumpridos
Pontuação = 1: um dos critérios é cumprido
Pontuação = 0: nenhum dos critérios é cumprido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QATC-13:</t>
        </r>
        <r>
          <rPr>
            <sz val="9"/>
            <color indexed="81"/>
            <rFont val="Tahoma"/>
            <family val="2"/>
          </rPr>
          <t xml:space="preserve">
Pontuação = 4: todos os critérios são cumpridos
Pontuação = 3: os critérios “a”, “d”, “e” e dois critérios são cumpridos
Pontuação = 2: três critérios são cumpridos
Pontuação = 1: dois critérios são cumpridos
Pontuação = 0: nenhum critério é cumprido</t>
        </r>
      </text>
    </comment>
  </commentList>
</comments>
</file>

<file path=xl/sharedStrings.xml><?xml version="1.0" encoding="utf-8"?>
<sst xmlns="http://schemas.openxmlformats.org/spreadsheetml/2006/main" count="4283" uniqueCount="1405">
  <si>
    <t>Plano de Metas e Indicadores</t>
  </si>
  <si>
    <t>Meta</t>
  </si>
  <si>
    <t>Descrição</t>
  </si>
  <si>
    <t>Indicador</t>
  </si>
  <si>
    <t>Forma de cálculo</t>
  </si>
  <si>
    <t>NC17</t>
  </si>
  <si>
    <t>Qualificar servidores de TI da GER-TI</t>
  </si>
  <si>
    <t>NC20</t>
  </si>
  <si>
    <t>Plano de Ações</t>
  </si>
  <si>
    <t>ID
Nec</t>
  </si>
  <si>
    <t>Necessidade de TI</t>
  </si>
  <si>
    <t>ID Ação</t>
  </si>
  <si>
    <t>Descrição da Ação</t>
  </si>
  <si>
    <t>Término Previsto</t>
  </si>
  <si>
    <t>Status</t>
  </si>
  <si>
    <t>NC01</t>
  </si>
  <si>
    <t>Sistemas de Informação</t>
  </si>
  <si>
    <t>Viabilização de solução para atender à Nova Contabilidade do Setor Público</t>
  </si>
  <si>
    <t>NC02</t>
  </si>
  <si>
    <t>Viabilização de solução para fiscalização de licitações e contratos</t>
  </si>
  <si>
    <t>NC03</t>
  </si>
  <si>
    <t>Serviços de TI</t>
  </si>
  <si>
    <t>Contratação de serviço técnico especializado em desenvolvimento e manutenção de software,infraestrutura de TI e administração de banco de dados</t>
  </si>
  <si>
    <t>NC04</t>
  </si>
  <si>
    <t>Desenvolvimento de solução de modernização do sistema de Plenário</t>
  </si>
  <si>
    <t>NC05</t>
  </si>
  <si>
    <t>Desenvolvimento de solução para gerenciamento de informações sobre gestores com contas julgadas irregulares</t>
  </si>
  <si>
    <t>Desenvolver sistema para gerenciamento de informações sobre gestores com contas julgadas irregulares</t>
  </si>
  <si>
    <t>NC06</t>
  </si>
  <si>
    <t>Desenvolvimento de solução de aprimoramento do acompanhamento de decisões</t>
  </si>
  <si>
    <t>NC07</t>
  </si>
  <si>
    <t>Desenvolvimento de solução de sistematização e consolidação de normas e jurisprudência</t>
  </si>
  <si>
    <t>NC08</t>
  </si>
  <si>
    <t>Infraestrutura de TI</t>
  </si>
  <si>
    <t>Realizar aquisição de ferramenta de acesso remoto estável</t>
  </si>
  <si>
    <t>A08.05</t>
  </si>
  <si>
    <t>Aprimoramento de recursos do Banco de Dados (Oracle Enterprise)</t>
  </si>
  <si>
    <t>A08.06</t>
  </si>
  <si>
    <t>Realizar aquisição de equipamentos servidores</t>
  </si>
  <si>
    <t>A08.07</t>
  </si>
  <si>
    <t>Aquisição de Soluções de Segurança da Informação (Firewall / Web Proxy Corporativo)</t>
  </si>
  <si>
    <t>A08.08</t>
  </si>
  <si>
    <t>A08.11</t>
  </si>
  <si>
    <t>Aquisição de Equipamentos de Armazenamento (Discos Storage)</t>
  </si>
  <si>
    <t>A08.12</t>
  </si>
  <si>
    <t>NC09</t>
  </si>
  <si>
    <t>Sustentação e evolução do sistema TCE-Juris</t>
  </si>
  <si>
    <t>NC10</t>
  </si>
  <si>
    <t>Governança e Gestão de TI</t>
  </si>
  <si>
    <t>Implantar Comitê de TI</t>
  </si>
  <si>
    <t>NC11</t>
  </si>
  <si>
    <t>Elaboração e execução de gerenciamento de portfólio de projetos de TI</t>
  </si>
  <si>
    <t>Elaborar metodologia de gerenciamento de portfólio de projetos de TI</t>
  </si>
  <si>
    <t>Desenvolver Portal de Acompanhamento de Projetos de TI, com demonstração do status dos projetos</t>
  </si>
  <si>
    <t>NC12</t>
  </si>
  <si>
    <t>Pessoal de TI</t>
  </si>
  <si>
    <t>Ampliação e valorização do quadro de servidores de TI.</t>
  </si>
  <si>
    <t>NC13</t>
  </si>
  <si>
    <t>Sustentação e evolução do sistema GPRO</t>
  </si>
  <si>
    <t>Desenvolver projeto de evolução do sistema GPRO</t>
  </si>
  <si>
    <t>NC14</t>
  </si>
  <si>
    <t>Implantação da governança de TI</t>
  </si>
  <si>
    <t>Avaliar a governança de TI do TCE</t>
  </si>
  <si>
    <t>Promover o mapeamento de processos de TI baseado no framework COBIT 5</t>
  </si>
  <si>
    <t>Implantar processos de governança mapeados</t>
  </si>
  <si>
    <t>NC15</t>
  </si>
  <si>
    <t>Conclusão da implantação de processo eletrônico</t>
  </si>
  <si>
    <t>Desenvolver projeto de implantação do processo eletrônico</t>
  </si>
  <si>
    <t>NC16</t>
  </si>
  <si>
    <t>Desenvolver sistemática de acompanhamento das ações do PDTI</t>
  </si>
  <si>
    <t>Desenvolver Portal de Acompanhamento de Execução do PDTI</t>
  </si>
  <si>
    <t>Modernização do parque tecnológico</t>
  </si>
  <si>
    <t>A17.01</t>
  </si>
  <si>
    <t>Realizar aquisição de computadores</t>
  </si>
  <si>
    <t>A17.02</t>
  </si>
  <si>
    <t>Realizar aquisição de monitores</t>
  </si>
  <si>
    <t>A17.03</t>
  </si>
  <si>
    <t>A17.04</t>
  </si>
  <si>
    <t>Realizar aquisição de scanners</t>
  </si>
  <si>
    <t>Realizar aquisição de Dispositivos Móveis (Notebooks/Tablets/Smartphones)</t>
  </si>
  <si>
    <t>NC18</t>
  </si>
  <si>
    <t>Capacitação no uso de ferramentas de TI e de sistemas corporativos de TI do TCE para os servidores em geral</t>
  </si>
  <si>
    <t>Promover capacitação no uso de ferramentas de TI e de sistemas corporativos de TI do TCE para os servidores em geral</t>
  </si>
  <si>
    <t>NC19</t>
  </si>
  <si>
    <t>Implantação da Gestão de Segurança da Informação</t>
  </si>
  <si>
    <t>Avaliar a segurança da informação do TCE</t>
  </si>
  <si>
    <t>Revisar e implantar a Política Corporativa de Segurança da Informação</t>
  </si>
  <si>
    <t>Constituir grupo de trabalho de Segurança da Informação</t>
  </si>
  <si>
    <t>Elaborar e implantar normas complementares à Política de Segurança da Informação, no tocante a: classificação e tratamento da informação, monitoramento e controle de recursos tecnológicos, acesso lógico, acesso físico, correio eletrônico corporativo, uso da rede, uso de certificado digital, gestão de ativos, internet, incidentes de segurança, tratamento de desastres, backup, etc.</t>
  </si>
  <si>
    <t>Realizar ações de conscientização (workshops) sobre Segurança da Informação no TCE-GO.</t>
  </si>
  <si>
    <t>Capacitação dos servidores de TI</t>
  </si>
  <si>
    <t>A20.01</t>
  </si>
  <si>
    <t>NC21</t>
  </si>
  <si>
    <t>Implantação do novo sistema para atender ao artigo 30 da CE.</t>
  </si>
  <si>
    <t>NC22</t>
  </si>
  <si>
    <t>Viabilizar solução de monitoramento de tramitação de autos processuais e produção de documentos</t>
  </si>
  <si>
    <t>Desenvolver sistema de monitoramento de tramitação de processos e produção de documentos</t>
  </si>
  <si>
    <t>NC23</t>
  </si>
  <si>
    <t>NC24</t>
  </si>
  <si>
    <t>A24.03</t>
  </si>
  <si>
    <t>Realizar a adequação da infraestrutura do datacenter NOVA SEDE</t>
  </si>
  <si>
    <t>NC25</t>
  </si>
  <si>
    <t>Desenvolvimento de solução de gestão educacional corporativa</t>
  </si>
  <si>
    <t>Desenvolver sistema de gestão educacional corporativa</t>
  </si>
  <si>
    <t>NC26</t>
  </si>
  <si>
    <t>NC27</t>
  </si>
  <si>
    <t>Viabilização da inserção do TCE-GO em Redes Sociais</t>
  </si>
  <si>
    <t>Permitir a adoção de redes sociais no TCE-GO</t>
  </si>
  <si>
    <t>NC28</t>
  </si>
  <si>
    <t>Viabilização de divulgação na internet de ações e atividades de controle externo</t>
  </si>
  <si>
    <t>Desenvolver projeto de divulgação de ações e atividades de controle externo na internet</t>
  </si>
  <si>
    <t>NC29</t>
  </si>
  <si>
    <t>Modernização dos sistemas corporativos com foco em acessibilidade</t>
  </si>
  <si>
    <t>Realizar manutenção dos sistemas existentes para acessibilidade</t>
  </si>
  <si>
    <t>NC30</t>
  </si>
  <si>
    <t>Conclusão da regulamentação e implantação do sistema de auditoria de folha de pagamento - GAFP</t>
  </si>
  <si>
    <t>Realizar a implantação do sistema de auditoria de folha de pagamento - GAFP</t>
  </si>
  <si>
    <t>NC31</t>
  </si>
  <si>
    <t>Aprimoramento dos serviços do portal institucional do TCE-GO</t>
  </si>
  <si>
    <t>Desenvolver projeto de melhorias dos serviços do portal institucional</t>
  </si>
  <si>
    <t>NC32</t>
  </si>
  <si>
    <t>NC33</t>
  </si>
  <si>
    <t>Desenvolvimento de solução para fiscalização de contratação de pessoal temporários</t>
  </si>
  <si>
    <t>Desenvolver sistema para fiscalização de contratação de pessoal temporários</t>
  </si>
  <si>
    <t>NC34</t>
  </si>
  <si>
    <t>Viabilizar solução de gestão documental e arquivística</t>
  </si>
  <si>
    <t>Desenvolver sistema GED - Gestão Eletrônica de Documentos (Módulo de documentos TCE-DOCS)</t>
  </si>
  <si>
    <t>NC35</t>
  </si>
  <si>
    <t>Elaboração de instrumento de planejamento de TI 2018-2019</t>
  </si>
  <si>
    <t>Elaborar o PDTI 2018-2019</t>
  </si>
  <si>
    <t>NC36</t>
  </si>
  <si>
    <t>Modernização do Portal de Gestão de Pessoas</t>
  </si>
  <si>
    <t>NC37</t>
  </si>
  <si>
    <t>Desenvolver melhorias no sistema cadastro geral - GCAD</t>
  </si>
  <si>
    <t>NC38</t>
  </si>
  <si>
    <t>Revisar as competências das unidades de TI e formalizar proposição de ato de normativo específico</t>
  </si>
  <si>
    <t>NC39</t>
  </si>
  <si>
    <t>Aprimoramento do Serviço de Email Corporativo</t>
  </si>
  <si>
    <t>A39.01</t>
  </si>
  <si>
    <t>Realizar aquisição de solução de spam e de solução de Backup de e-mail</t>
  </si>
  <si>
    <t>NC40</t>
  </si>
  <si>
    <t>Viabilização do intercâmbio de informações de interesse com outros orgãos da Administração Pública</t>
  </si>
  <si>
    <t>NC41</t>
  </si>
  <si>
    <t>Viabilização de divulgação na internet de ações, atividades e normas internas de gestão documental</t>
  </si>
  <si>
    <t>Desenvolver portal de divulgação da gestão documental e arquivística</t>
  </si>
  <si>
    <t>NC42</t>
  </si>
  <si>
    <t>Aquisição de softwares aplicativos</t>
  </si>
  <si>
    <t>A42.01</t>
  </si>
  <si>
    <t>Realizar aquisição de Corel Draw / Photopaint</t>
  </si>
  <si>
    <t>A42.02</t>
  </si>
  <si>
    <t>Realizar aquisição de Autodesk Autocad</t>
  </si>
  <si>
    <t>A42.03</t>
  </si>
  <si>
    <t>Realizar aquisição de Adobe PhotoShop</t>
  </si>
  <si>
    <t>A42.04</t>
  </si>
  <si>
    <t>Realizar aquisição de Adobe Acrobat Pro</t>
  </si>
  <si>
    <t>A42.05</t>
  </si>
  <si>
    <t>Realizar aquisição de Adobe InDesign</t>
  </si>
  <si>
    <t>A42.06</t>
  </si>
  <si>
    <t>A42.07</t>
  </si>
  <si>
    <t>Realizar aquisição de Sistema para Gerenciamento de Processos Bizagi</t>
  </si>
  <si>
    <t>A42.08</t>
  </si>
  <si>
    <t>Realizar aquisição de Sistema para Gerenciamento de Projetos (MS Project)</t>
  </si>
  <si>
    <t>A42.09</t>
  </si>
  <si>
    <t>A42.10</t>
  </si>
  <si>
    <t>A42.11</t>
  </si>
  <si>
    <t>A42.12</t>
  </si>
  <si>
    <t>Realizar aquisição de Software de digitalização de documento com OCR (Kodak Pro)</t>
  </si>
  <si>
    <t>NC43</t>
  </si>
  <si>
    <t>Viabilização de utilização de soluções de armazenamento em nuvem</t>
  </si>
  <si>
    <t>Analisar viabilidade Soluções de armazenamento em nuvem</t>
  </si>
  <si>
    <t>A43.02</t>
  </si>
  <si>
    <t>Realizar aquisição de solução de armazenamento em nuvem ( Google Apps for Work)</t>
  </si>
  <si>
    <t>NC44</t>
  </si>
  <si>
    <t>Desenvolvimento de solução para gestão de declarações de bens e rendas</t>
  </si>
  <si>
    <t>Desenvolver sistema para gestão de declarações de bens e rendas</t>
  </si>
  <si>
    <t>NC45</t>
  </si>
  <si>
    <t>Definição de Padrões de TI (Arquitetura, Código, BD) e documentá-los (elaborar/revisar Manuais de Sistemas, Guias)</t>
  </si>
  <si>
    <t>Centralizar e padronizar banco de dados e servidores web</t>
  </si>
  <si>
    <t>NC46</t>
  </si>
  <si>
    <t>Sustentação e evolução do sistema de gestão de material e patrimônio - GMAP</t>
  </si>
  <si>
    <t>NC47</t>
  </si>
  <si>
    <t>Desenvolver solução para solicitação de diárias</t>
  </si>
  <si>
    <t>Desenvolver sistema para solicitação de diárias</t>
  </si>
  <si>
    <t>NC48</t>
  </si>
  <si>
    <t>Implantação do Gerenciamento de Serviços de TI</t>
  </si>
  <si>
    <t>Realizar diagnóstico de processos de gerenciamento de serviços de TI</t>
  </si>
  <si>
    <t>Mapear e implantar processos</t>
  </si>
  <si>
    <t>Aprimorar o sistema help-desk considerando o modelo de central de serviços.</t>
  </si>
  <si>
    <t>NC49</t>
  </si>
  <si>
    <t>Viabilização de solução de gerenciamento de processos organizacionais</t>
  </si>
  <si>
    <t>NC50</t>
  </si>
  <si>
    <t>Viabilização de solução para gestão do conhecimento</t>
  </si>
  <si>
    <t>NC51</t>
  </si>
  <si>
    <t>A51.01</t>
  </si>
  <si>
    <t>Realizar aquisição de solução de Portal Corporativo e ferramentas de colaboração e de socialização (Liferay)</t>
  </si>
  <si>
    <t>NC52</t>
  </si>
  <si>
    <t>Desenvolvimento de solução de gestão da manutenção predial</t>
  </si>
  <si>
    <t>Desenvolver sistema de gestão da manutenção predial</t>
  </si>
  <si>
    <t>NC53</t>
  </si>
  <si>
    <t>Viabilização de infraestrutura para produção de conteúdo de vídeo e transmissão das Sessões Plenárias</t>
  </si>
  <si>
    <t>A53.01</t>
  </si>
  <si>
    <t>Realizar aquisição de Equipamentos para Transmissão das Sessões Plenárias - NOVA SEDE</t>
  </si>
  <si>
    <t>NC54</t>
  </si>
  <si>
    <t>Realizar implantação do sistema GRAC</t>
  </si>
  <si>
    <t>NC55</t>
  </si>
  <si>
    <t>ID</t>
  </si>
  <si>
    <t>Categoria</t>
  </si>
  <si>
    <t>Descrição da Necessidade</t>
  </si>
  <si>
    <t>CP01</t>
  </si>
  <si>
    <t>CP02</t>
  </si>
  <si>
    <t>CP03</t>
  </si>
  <si>
    <t>CP04</t>
  </si>
  <si>
    <t>CP05</t>
  </si>
  <si>
    <t>CP06</t>
  </si>
  <si>
    <t>CP07</t>
  </si>
  <si>
    <t>CP08</t>
  </si>
  <si>
    <t>Prioridade</t>
  </si>
  <si>
    <t>Solução para permitir a transmissão de informações sobre a Execução Orçamentária e Financeira e Plano de Contas Aplicado ao Serviço Público (PCASP) de acordo com a Nova Contabilidade e a centralização e consolidação de todas as movimentações financeiras dos jurisdicionados, e implementação de procedimentos padronizados para auditar a informação recebida.</t>
  </si>
  <si>
    <t>Solução para relacionar e requisitar dos jusrisdicionados os procedimentos de licitação e contratos para o exercício das atividades inerentes a sua área de atuação, mediante critérios previamente estabelecidos.</t>
  </si>
  <si>
    <t>Contratação de empresas prestadoras de serviços técnicos especializadas em desenvolvimento e manutenção de software e infraestrutura de TI.</t>
  </si>
  <si>
    <t>GER-TI</t>
  </si>
  <si>
    <t>Solução para realização de sorteio eletrônico de relatorias (clientela).</t>
  </si>
  <si>
    <t>Solução para manter base de dados dos responsáveis julgados irregulares, a fim de detectar reincidências e aplicar sanções mais efetivas.
.</t>
  </si>
  <si>
    <t>GPRES</t>
  </si>
  <si>
    <t>Solução para monitorar a efetividade do cumprimento de decisões.</t>
  </si>
  <si>
    <t>PD 2015-D</t>
  </si>
  <si>
    <t>Solução para cadastramento, classificaçao, indexação, buscas dinâmicas de atos normativos e jurisprudência, com vários níveis de refinamento e a emissão de relatórios gerenciais, afim de auxiliar na elaboração de pareceres.</t>
  </si>
  <si>
    <t>Aquisição e implantação de softwares, equipamentos de infraestrutura de TI.</t>
  </si>
  <si>
    <t>Necessidade de correções de inconformidades no atual sistema e evolução das funcionalidades para atender mudanças de requisitos.</t>
  </si>
  <si>
    <t>Conscientização da alta administração e das unidades do TCE-GO da importância de um Comitê de TI composto por diversas áreas da instiuição para tomada de decisões estratégicas sobre TI.</t>
  </si>
  <si>
    <t>Desenvolvimento e implementação de metodologia de inclusão e acompanhamento de projetos do portfólio de projetos de TI</t>
  </si>
  <si>
    <t>Fomentar a realização de concursos públicos e o estabelecimento de mecanismos de reconhecimento dos servidores tais como a meritocracia e gratificações por desempenho.</t>
  </si>
  <si>
    <t>PD 2015-T</t>
  </si>
  <si>
    <t>Necessidade de correções de inconformidades no atual sistema e também, evolução das funcionalidades para atender mudanças de requisitos.</t>
  </si>
  <si>
    <t>PD 2015-B</t>
  </si>
  <si>
    <t>Desenvolvimento da maturidade dos processos de trabalho da área de TI do TCE-GO afim de que possa avaliar, dirigir e monitorar as ações de TI do Tribunal.</t>
  </si>
  <si>
    <t>Efetivação do processo eletrônico com a completa eliminação de papel em trâmites de documentos.</t>
  </si>
  <si>
    <t>Aquisição de equipamentos de TI voltados para os usuários.</t>
  </si>
  <si>
    <t>Capacitação para os usuários das demais unidades no TCE nos sistemas desenvolvidos internamente.</t>
  </si>
  <si>
    <t>PD 2015-P</t>
  </si>
  <si>
    <t>Realização de ações que visam proteger a confidencialidade, disponibilidade e integridade das informações do TCE</t>
  </si>
  <si>
    <t>Capacitação de servidores da TI do TCE-GO para que possam sustentar as atividades da GER-TI.</t>
  </si>
  <si>
    <t>Solução para controlar as prestações de contas fora do prazo e as reincidências dos que perderam os prazos ou não prestaram as contas, bem como a possibilidade de verificar se o jurisdicionado está regular e com a declaração completa, atendendo as regras de declaração fora do prazo conforme artigo 288 do Regimento Interno do TCE-GO.</t>
  </si>
  <si>
    <t>GER-ATOSPESSOAL</t>
  </si>
  <si>
    <t xml:space="preserve">Solução de monitoramento da tramitação dos processos (Follow-Up), em que seja possível listar os processos que excederam os prazos de permanência em um determinado setor.
</t>
  </si>
  <si>
    <t>Necessidade futura de alterações no GPRO com relação a auditores poderem relatar processos,</t>
  </si>
  <si>
    <t>GAHH</t>
  </si>
  <si>
    <t>PEI10</t>
  </si>
  <si>
    <t>Avaliação de recursos de detecção de incendios, refrigeração, redundancia eletrica, controles de acesso físico e lógicos e realizar as devidas adequações.</t>
  </si>
  <si>
    <t>Software de BI para gerenciamento de informações, consultas, relatórios dinâmicos, ferramentas de análises e de visualização, tabelas dinâmicas, cockpits, dashboards e performance de gestão, afim de possibilitar a tomada de decisões de forma segura.</t>
  </si>
  <si>
    <t>Implantação de rede social no TCE</t>
  </si>
  <si>
    <t>ASS-COM</t>
  </si>
  <si>
    <t>Espaço para divulgação dos trabalhos realizados (auditorias, monitoramentos), como forma de mostrar à sociedade o desempenho do Tribunal</t>
  </si>
  <si>
    <t>GER-FISCALIZA</t>
  </si>
  <si>
    <t>PD 2015-M</t>
  </si>
  <si>
    <t>Melhoria da acessibilidade nos sistemas internos para deficientes visuais.</t>
  </si>
  <si>
    <t>Implantação do sistema GAFP (Auditoria de Folha de Pagamento).</t>
  </si>
  <si>
    <t>Necessidade de permitir que pessoas jurídicas também emitam certidões, e ambas pessoas físicas e jurídicas possam ser validadas por sistema integrado com a Receita Federal.</t>
  </si>
  <si>
    <t>Portal de informações de ações do governo (com o nome Você é o fiscal do TCE), para mostrar ao cidadão essas ações que este possa fiscalizar e, se não forem executadas, o cidadão possa denunciar por este portal.</t>
  </si>
  <si>
    <t>Solução para coleta de dados sobre todas as contratações de pessoal realizadas pelos jurisdicionados, com caráter temporário.</t>
  </si>
  <si>
    <t>Elaboração do plano diretor de TI para o biênio 2018-2019.</t>
  </si>
  <si>
    <t>Reformulação do portal de Gestão de Pessoas afim de se ter maior integração com o sistema de RH.</t>
  </si>
  <si>
    <t>GER-PESSOAS</t>
  </si>
  <si>
    <t>Sistema com histórico dos jurisdicionados que seja traçado a partir de informações da execução orçamentária para identificar a estrutura administrativa desde 2003, e permitir uma integração da consolidação das informações financeiras do art. 30 com as advindas da execução orçamentária.</t>
  </si>
  <si>
    <t>Promoção da revisão das atribuições da Gerência de TI e seus serviços subordinados e a formalização através de normativo específico</t>
  </si>
  <si>
    <t>PD 2015-C</t>
  </si>
  <si>
    <t>Adquirir solução de spam e Backup para o serviço de email corporativo.</t>
  </si>
  <si>
    <t>Obtenção de informações para localizar pessoas que devem citadas/intimadas, foi sugerido que se firme parceiras com orgãos como Polícia, CELG, Detran, para possibilitar o acesso a este tipo de dado.</t>
  </si>
  <si>
    <t>Portal da área de Gestão de Documental, para divulgação dos andamento e dos resultados do projeto em andamento no Tribunal.</t>
  </si>
  <si>
    <t>Aquisição de softwares utiizados para o tratamento de imagens, desenhos de engenharia, edição de texto, etc.</t>
  </si>
  <si>
    <t>Estudo para implantação, aquisição ou liberação de acesso aos serviços de armazenamento de dados em nuvem.</t>
  </si>
  <si>
    <t>Definição de padrões para aumentar a eficiência e a continuidade do negócio na TI.</t>
  </si>
  <si>
    <t>Solução de unificação de dados da gerência administrativa e financeira com a adequação dos requisitos da nova contabilidade, além de outros aprimoramentos</t>
  </si>
  <si>
    <t>SERV-MATERIAL</t>
  </si>
  <si>
    <t>Criação de um sistema para solicitação de diárias on-line</t>
  </si>
  <si>
    <t>GER-ENG</t>
  </si>
  <si>
    <t>Aplicação das melhores práticas de gerenciamento de TI no TCE-GO.</t>
  </si>
  <si>
    <t>Permitir a gestão de processos de negócio modelados, com ferramentas de diagramação de processos em BPMN integradas ao modelador e que implemente a automação e monitoramento das atividades.</t>
  </si>
  <si>
    <t>Sistema colaborativo para gestão do conhecimento desenvolvido no TCE-GO.</t>
  </si>
  <si>
    <t>Desenvolvimento de portal corporativo nos moldes de uma intranet.</t>
  </si>
  <si>
    <t>Desenvolvimento de solução de ordens de serviço para gestão da manutenção predial</t>
  </si>
  <si>
    <t>Equipamentos para dar suporte à transmissão da sessão plenária na nova sede</t>
  </si>
  <si>
    <t>Conclusão do sistema de Registro de atos de concessão.</t>
  </si>
  <si>
    <t>SEC-CEXTERNO</t>
  </si>
  <si>
    <t>NC56</t>
  </si>
  <si>
    <t>Ajustar sistemas internos às necessidades do usuários.</t>
  </si>
  <si>
    <t>NECESSIDADE / PROJETO</t>
  </si>
  <si>
    <t>QTD</t>
  </si>
  <si>
    <t>UN</t>
  </si>
  <si>
    <t>VALOR UNITÁRIO</t>
  </si>
  <si>
    <t>VALOR TOTAL</t>
  </si>
  <si>
    <t>OBSERVAÇÃO</t>
  </si>
  <si>
    <t>-</t>
  </si>
  <si>
    <t>CUSTEIO</t>
  </si>
  <si>
    <t>MENSAL</t>
  </si>
  <si>
    <t>PROCESSO INTERNO</t>
  </si>
  <si>
    <t>INVESTIMENTO</t>
  </si>
  <si>
    <t>UNIDADE</t>
  </si>
  <si>
    <t>ANUAL</t>
  </si>
  <si>
    <t>A08.13</t>
  </si>
  <si>
    <t>A08.14</t>
  </si>
  <si>
    <t>TOTAL</t>
  </si>
  <si>
    <t>EIXO TEMÁTICO</t>
  </si>
  <si>
    <t>CAPACITAÇÃO</t>
  </si>
  <si>
    <t>ORIGEM</t>
  </si>
  <si>
    <t>Gestão e Governança de TI</t>
  </si>
  <si>
    <t>http://www.masterhouse.com.br/hdn/agenda/iso27002-pe.htm</t>
  </si>
  <si>
    <t>http://www.trainning.com.br/cursos-bpmn-bpm</t>
  </si>
  <si>
    <t>COBIT 5, com certificação COBIT 5 Foundation</t>
  </si>
  <si>
    <t>http://www.trainning.com.br/cursos/curso-cobit-5-foundation</t>
  </si>
  <si>
    <t>Curso de SCRUM com certificação SCRUM master da CSM</t>
  </si>
  <si>
    <t>http://agiletrendsbr.com/csm-certified-scrummaster/</t>
  </si>
  <si>
    <t>ITIL 2011, com certificação ITIL Foundation</t>
  </si>
  <si>
    <t>http://www.masterhouse.com.br/hdn/agenda/itilf-go.htm</t>
  </si>
  <si>
    <t>Capacitação em gerenciamento de projetos</t>
  </si>
  <si>
    <t>https://esr.rnp.br/gti6</t>
  </si>
  <si>
    <t>Gestão de Processos de Negócios (BPM)</t>
  </si>
  <si>
    <t>http://www.innovia.com.br/cursos/processos/curso-de-gestao-de-processos</t>
  </si>
  <si>
    <t>Gestão de Riscos de SI - ISO 27005</t>
  </si>
  <si>
    <t>https://esr.rnp.br/gti9</t>
  </si>
  <si>
    <t>Desenvolvimento de Gestores de TI</t>
  </si>
  <si>
    <t>Capacitação em gestão de Contratos de TI</t>
  </si>
  <si>
    <t>Melhoria de Processos de Software na Administração - MPS-BR</t>
  </si>
  <si>
    <t>http://www.softex.br/curso-de-introducao-ao-mps-br-c1-mps-br-2/</t>
  </si>
  <si>
    <t>Security Officer Foundation</t>
  </si>
  <si>
    <t>http://www.datasecurity.com.br/index.php/cursos/security-officer-foundation</t>
  </si>
  <si>
    <t>Security Officer Advanced</t>
  </si>
  <si>
    <t>http://www.datasecurity.com.br/index.php/cursos/security-officer-advanced</t>
  </si>
  <si>
    <t>Proteção de perímetros de rede e hardening de servidores</t>
  </si>
  <si>
    <t>https://esr.rnp.br/seg10 
https://esr.rnp.br/seg2</t>
  </si>
  <si>
    <t>Auditoria de Segurança em Aplicações Web</t>
  </si>
  <si>
    <t>http://www.clavis.com.br/treinamento-ensino-a-distancia-ead/auditoria-de-seguranca-em-aplicacoes-web/index.php</t>
  </si>
  <si>
    <t>Análise de Negócio</t>
  </si>
  <si>
    <t>http://www.trainning.com.br/cursos/curso-ant-bpm-analista-negocios-ti-babok</t>
  </si>
  <si>
    <t>Formação básica em Banco de Dados Oracle</t>
  </si>
  <si>
    <t>http://www.trainning.com.br/formacao/formacao-oracle-dba-11g</t>
  </si>
  <si>
    <t>Gerência de Redes de Computadores</t>
  </si>
  <si>
    <t>https://esr.rnp.br/adr5</t>
  </si>
  <si>
    <t>Monitoramento de Ativos com Zabbix</t>
  </si>
  <si>
    <t>http://www.treinamentolinux.com.br/curso-monitoramento-com-zabbix/</t>
  </si>
  <si>
    <t>Backup com HP Data Proctector</t>
  </si>
  <si>
    <t>http://www.tre-al.jus.br/arquivos/tre-pa-pagamento-a-fornecedores-maio-2011</t>
  </si>
  <si>
    <t>Virtualização Profissional com Vmware</t>
  </si>
  <si>
    <t>http://www.trainning.com.br/cursos/curso-vmware-instalar-configurar-gerenciar-v5</t>
  </si>
  <si>
    <t>Análise de Pontos de Função</t>
  </si>
  <si>
    <t>http://www.fattocs.com/pt/capf-sp</t>
  </si>
  <si>
    <t>Arquitetura de Software</t>
  </si>
  <si>
    <t>http://www.fumsoft.org.br/eventos/29072015-curso-arquitetura-agil-de-software</t>
  </si>
  <si>
    <t>Capacitação em Team Foundation Server</t>
  </si>
  <si>
    <t>https://gpinproject.wordpress.com/2010/09/04/curso-team-foundation-server-2010-fundamentals-e-scrum-fundamental-em-fortaleza/</t>
  </si>
  <si>
    <t>Capacitação em ferramentas Visual Studio</t>
  </si>
  <si>
    <t>https://www.impacta.com.br/curso/C-2013-Fundamentos.php</t>
  </si>
  <si>
    <t>Testes de Software e integração contínua</t>
  </si>
  <si>
    <t>http://www.fattocs.com/pt/testesw-bsb</t>
  </si>
  <si>
    <t>Engenharia de Requisitos</t>
  </si>
  <si>
    <t>http://www.cits.br/index.php/servicos/capacitacao/agenda?id=75</t>
  </si>
  <si>
    <t>Todas as áreas</t>
  </si>
  <si>
    <t>Participação em Congressos, workshops e eventos técnicos.</t>
  </si>
  <si>
    <t>TOTAL:</t>
  </si>
  <si>
    <t>PDTI - Inventário de Necessidades</t>
  </si>
  <si>
    <t>ID Nec.</t>
  </si>
  <si>
    <t>Gestão de Segurança da Informação, com certificação ISO/IEC 27.002 Foundation.</t>
  </si>
  <si>
    <t>Análise e melhoria de processos, com foco em modelagem de processos de negócio (BPM).</t>
  </si>
  <si>
    <t>Curso da ENAP</t>
  </si>
  <si>
    <t>Item</t>
  </si>
  <si>
    <t>Tempo estimado</t>
  </si>
  <si>
    <t>Trim.</t>
  </si>
  <si>
    <t>CLASSIFICAÇÃO</t>
  </si>
  <si>
    <t>TOTAL DE NECESSIDADES</t>
  </si>
  <si>
    <t>META - QTDE</t>
  </si>
  <si>
    <t>META - %</t>
  </si>
  <si>
    <t>Conclusão</t>
  </si>
  <si>
    <t>%</t>
  </si>
  <si>
    <t>CONCLUÍDO</t>
  </si>
  <si>
    <t>Classificação</t>
  </si>
  <si>
    <t>Responsável</t>
  </si>
  <si>
    <t>PRESIDENCIA</t>
  </si>
  <si>
    <t>Elaborar PROJETO BÁSICO (TERMO DE FERÊNCIA) contendo especificação para contratação de serviço terceirizados.</t>
  </si>
  <si>
    <t>TOTAL DE AÇÕES PLANEJADAS</t>
  </si>
  <si>
    <t>TOTAL DE AÇÕES EXECUTADAS</t>
  </si>
  <si>
    <t>SERV-SISTEMAS</t>
  </si>
  <si>
    <t>Início Previsto</t>
  </si>
  <si>
    <t>Iníciado em</t>
  </si>
  <si>
    <t>Concluído em</t>
  </si>
  <si>
    <t>Tempo gasto</t>
  </si>
  <si>
    <t>A03.03</t>
  </si>
  <si>
    <t>LICITAÇÃO para contratação de serviço técnico especializado em desenvolvimento e manutenção de software,infraestrutura de TI e administração de banco de dados</t>
  </si>
  <si>
    <t>Implantação de Comitê Estratégico de TI</t>
  </si>
  <si>
    <t>Propor a implantação de comitê de TI</t>
  </si>
  <si>
    <t>Elaborar projeto de implantação do processo eletrônico</t>
  </si>
  <si>
    <t>Aprovar projeto de implantação do processo eletrônico</t>
  </si>
  <si>
    <t>Itens de Avaliação</t>
  </si>
  <si>
    <t>Unid.
Responsável</t>
  </si>
  <si>
    <t>Pontuação Indicador e dimensão</t>
  </si>
  <si>
    <t>Evidências e observações</t>
  </si>
  <si>
    <t>Nº</t>
  </si>
  <si>
    <t>ITENS DE AVALIAÇÃO</t>
  </si>
  <si>
    <t>RESP.</t>
  </si>
  <si>
    <t>ATENDE?</t>
  </si>
  <si>
    <t>EVIDÊNCIAS</t>
  </si>
  <si>
    <t>NATUREZA INICIATIVAS</t>
  </si>
  <si>
    <t>DESCRIÇÃO DAS INICIATIVAS</t>
  </si>
  <si>
    <t>COMPLEXIDADE</t>
  </si>
  <si>
    <t>EST. DE CONCLUSÃO</t>
  </si>
  <si>
    <t>COMPOSIÇÃO, ORGANIZAÇÃO E FUNCIONAMENTO DOS TRIBUNAIS DE CONTAS DO BRASIL</t>
  </si>
  <si>
    <t>1.2</t>
  </si>
  <si>
    <t>Quanto aos Conselheiros Substitutos</t>
  </si>
  <si>
    <t>1.2.2 b</t>
  </si>
  <si>
    <t>Aos Ministros Substitutos e Conselheiros Substitutos são distribuídos processos para relatoria própria</t>
  </si>
  <si>
    <t>Marcus Vinícius</t>
  </si>
  <si>
    <t>NA</t>
  </si>
  <si>
    <t>Reiterando que no âmbito desta Corte não temos a figura de Conselheiro Substituto, haja vista que nossa Lei Orgânica e Regimento Interno refererem-se a Auditor Substituto de Conselheiro, atualmente não são distribuidos processos para relatoria própria dos mesmos</t>
  </si>
  <si>
    <t>3. Alteração Regimental ou Aprovação de Resolução</t>
  </si>
  <si>
    <t>O Colegiado deverá discutir qual a forma a ser adotada para a distribuição. Se aos Auditores Substitutos de Conselheiros serão distribuidos determinados assuntos (matérias) ou farão parte da distribuição por clientela. Decidida a forma de distribuição, deverá ser alterado o Regimento Interno, que não prevê tal possibilidade. Caso decidam pela distribuição por clientela, também será necessária a alteração da Resolução Normativa n° 007/2014. Por parte da TI será necessário alteração no sistema de distribuição. Por parte do ILB deverá ser desenvolvido programa de capacitação dos servidores que estarão envolvidos.</t>
  </si>
  <si>
    <t>Complexas</t>
  </si>
  <si>
    <t>2. Até Novembro/2016</t>
  </si>
  <si>
    <t>1.2.3 c</t>
  </si>
  <si>
    <t>Os processos são distribuídos aos Ministros Substitutos e Conselheiros Substitutos sem qualquer distinção quanto à natureza</t>
  </si>
  <si>
    <t>Idem item anterior</t>
  </si>
  <si>
    <t>5. Após 2017</t>
  </si>
  <si>
    <t>SÚMULA E JURISPRUDÊNCIA</t>
  </si>
  <si>
    <t>4.1</t>
  </si>
  <si>
    <t>Diretrizes gerais</t>
  </si>
  <si>
    <t>4.1.5 e</t>
  </si>
  <si>
    <t>Dispõe de sistema informatizado que proporcione a pesquisa de jurisprudência por meio de busca textual em toda base de dados das decisões do Tribunal de Contas, contemplando no mínimo as seguintes opções de refinamento: por operadores lógicos; por relator; por tipo de processo; por tipo de decisão; por período; por jurisdicionado e por temas.</t>
  </si>
  <si>
    <t>Kátia Carvalho</t>
  </si>
  <si>
    <t>Este Tribunal possui sistema de pesquisa de julgados (acórdãos, resoluções, resoluções administrativas e resoluções normativas), disponibilizado no site do Tribunal, denominado "TCE-Juris".Atualmente, com as seguintes opções de refinamento: ano; nº do processo; assunto; número da decisão; interessado e busca textual. Aquele sistema possibilita, ainda, a exportação dos seguintes dados, para uma planilha excel: nº do acórdão, data da sessão, colegiado, relator da decisão, interessado, assunto (conforme autuação), nº do processo, procurador, auditor, relator do processo, dentre outros. Quanto às demais opções de refinamento ( por operadores lógicos, por tipo de decisão e por temas) deverão ser disponibilizadas no novo sistema de jurisprudência, cujo desenvolvimento encontra-se em fase inicial.
http://juris.tce.go.gov.br/</t>
  </si>
  <si>
    <t>1. Solução de TI</t>
  </si>
  <si>
    <t>1. Desenvolvimento do sistema de jurisprudência selecionada e temática, após a aprovação do processo de que trata o item 4.1.1a, pela presidência; e/ou 2. Promoção de adequações no atual sistema de pesquisa de julgados (TCE-JURIS), a fim de disponibilizar algumas das opções de refinamento descritas.</t>
  </si>
  <si>
    <t>4.3</t>
  </si>
  <si>
    <t>Jurisprudência</t>
  </si>
  <si>
    <t>4.3.1 a</t>
  </si>
  <si>
    <t>Possui a sua jurisprudência devidamente sistematizada</t>
  </si>
  <si>
    <t>1. Desenvolvimento do sistema de jurisprudência selecionada e temática, após a aprovação do processo de que trata o item 4.1.1a, pela presidência; 2 .Realização de intensos treinamentos e supervisão efetiva da equipe responsável pela realização das atividades do processo e constantes no manual de procedimentos;3. Promoção de cursos de capacitação em identificação de teses e redação de resumos jurisprudenciais (demanda já encaminhada à presidência, no final do exercício de 2015)</t>
  </si>
  <si>
    <t>3. Até julho/2017</t>
  </si>
  <si>
    <t>4.3.4 d</t>
  </si>
  <si>
    <t>Possui sistema informatizado que permita o tratamento das decisões colegiadas do Tribunal, por meio de coleta, análise, elaboração de resumos jurisprudenciais, indexação e divulgação na web, para consulta pelos interessados.</t>
  </si>
  <si>
    <t>Ainda não. O Projeto Sistematização da Jurisprudencia do TCE-GO, que tem por objetivo normatizar e manualizar os procedimentos relativos à sistematização, catalogação, indexação, análise e estudo da Jurisprudência das Câmaras e do Tribunal Pleno encontra-se em execução. O desenvolvimento do sistema informatizado de jurisprudência encontra-se em fase inicial.</t>
  </si>
  <si>
    <t>1. Desenvolvimento do sistema de jurisprudência selecionada e temática, após a aprovação do processo, de que trata o item 4.1.1a, pela presidência;</t>
  </si>
  <si>
    <t>Simples</t>
  </si>
  <si>
    <t>4.3.5 e</t>
  </si>
  <si>
    <t>Assegura que as ementas e/ou outros resumos jurisprudenciais tenham hiperlinks permitindo o acesso ao inteiro teor da decisão (relatório, voto e parte dispositiva)</t>
  </si>
  <si>
    <t>A jurisprudência deste Tribunal encontra-se disponibilizada em um sistema de pesquisa de julgados, por filtros e textual. Após a efetiva implementação do sistema informatizado de jurisprudência, poderá ser viabilizada a produção de ementários e elaboração de outros resumos jurisprudenciais.</t>
  </si>
  <si>
    <t>1. Criação de ementário dos acórdãos, para pesquisa na web. 2. Desenvolvimento do sistema de jurisprudência selecionada e temática, após a aprovação do processo, de que trata o item 4.1.1a, pela presidência;</t>
  </si>
  <si>
    <t>4.3.6 f</t>
  </si>
  <si>
    <t>Divulga suas decisões por meio de publicações, boletins e informativos periódicos de jurisprudência.</t>
  </si>
  <si>
    <t>Todas as decisões colegiadas do TCEGO (acórdãos e resoluções) são publicadas no Diário Eletrônico de Contas. Atualmente, não são produzidos boletins e informativos periódicos de jurisprudência. Contudo, a Assessoria de Comunicação do Tribunal promove a divulgação de decisões que, a critério daquela assessoria, são consideradas relevantes.</t>
  </si>
  <si>
    <t>1. Criação e veiculação do boletim de jurisprudência do tribunal. 2. formação e capacitação de equipe, integrada por servidores da assessoria de comunicação social, inclusive.</t>
  </si>
  <si>
    <t>CORREGEDORIA</t>
  </si>
  <si>
    <t>5.1</t>
  </si>
  <si>
    <t>Estrutura da Corregedoria</t>
  </si>
  <si>
    <t>5.1.9 i</t>
  </si>
  <si>
    <t>Possui sistema informatizado que possibilite o gerenciamento dos processos, procedimentos e dos prazos processuais, com alertas automáticos</t>
  </si>
  <si>
    <t>Cons Celmar Rech</t>
  </si>
  <si>
    <t>Hoje são elaborados relatórios estatísticos bimestrais que contemplam informações de alerta às diversas unidades do Tribunal.</t>
  </si>
  <si>
    <t>Solicitar a inclusão no Plano Estratégico da TI - desenvolver aplicativo específico para gerenciamento de prazos processuais.</t>
  </si>
  <si>
    <t>4. Até dezembro/2017</t>
  </si>
  <si>
    <t>CONTROLE INTERNO</t>
  </si>
  <si>
    <t>6.1</t>
  </si>
  <si>
    <t>Ambiente de Controle Interno</t>
  </si>
  <si>
    <t>6.1.5 e</t>
  </si>
  <si>
    <t>Possui canal de comunicação para que os servidores informem suspeitas de irregularidades.</t>
  </si>
  <si>
    <t>Eliane Romeiro</t>
  </si>
  <si>
    <t>Criar e implantar um canal de diálogo com servidores e autoridades do TCE, para possibilitar a formulação de denúncias e sugestões pertinentes às suas atividades.</t>
  </si>
  <si>
    <t>Medianas</t>
  </si>
  <si>
    <t>6.1.6 f</t>
  </si>
  <si>
    <t>Possui políticas e procedimentos para a segurança da informação e de TI.</t>
  </si>
  <si>
    <t>A</t>
  </si>
  <si>
    <t>RES 01/05
http://tcenet.tce.go.gov.br/Downloads/Arquivos/000102/PSI_TCE.pdf</t>
  </si>
  <si>
    <t>Criar e implantar um banco de dados que possibilite o arquivamento dos pareceres e despachos proferidos pela DCI a partir de 2015, com a busca por palavras-chave.</t>
  </si>
  <si>
    <t>6.1.7 g</t>
  </si>
  <si>
    <t>Possui em operação um sistema claramente definido para identificar, mitigar e acompanhar os principais riscos de negócio.</t>
  </si>
  <si>
    <t>1 - Realizar estudo sobre a criação de um sistema claramente definido para identificar, mitigar e acompanhar os principais riscos do negócio. 
2 - Ato normativo estabelecendo as políticas.</t>
  </si>
  <si>
    <t>6.2.6 f</t>
  </si>
  <si>
    <t>Os servidores da unidade de controle interno têm acesso irrestrito aos documentos e às informações necessárias à realização das atividades de controle interno.</t>
  </si>
  <si>
    <t>Conforme art. 11, III, da Resolução 004/2011
http://tcenet.tce.go.gov.br/Downloads/Arquivos/000103/Resolucao_4-2011_-_DCI.pdf</t>
  </si>
  <si>
    <t>Acesso aos sistemas de informação de dados orçamentários e financeiros do Tribunal, visando melhor acompanhamento e ratificação das informações contidas nos processos relativos ao Relatório de Gestão Fiscal, Prestação de Contas Anual à Assembleia Legislativa, Fundo Rotativo, Empenhos, Ordens de Pagamento, etc..</t>
  </si>
  <si>
    <t>1. Até junho/2016</t>
  </si>
  <si>
    <t>6.2.7 g</t>
  </si>
  <si>
    <t>Os servidores da unidade de controle interno têm independência técnica e autonomia profissional em relação às unidades controladas.</t>
  </si>
  <si>
    <t>Conforme art. 11 da Resolução 004/2011
http://tcenet.tce.go.gov.br/Downloads/Arquivos/000103/Resolucao_4-2011_-_DCI.pdf</t>
  </si>
  <si>
    <t>Podendo ser melhor executada com ferramentas da T.I.</t>
  </si>
  <si>
    <t>GESTÃO DE TECNOLOGIA DA INFORMAÇÃO</t>
  </si>
  <si>
    <t>7.1</t>
  </si>
  <si>
    <t>Estrutura de Tecnologia da Informação</t>
  </si>
  <si>
    <t>7.1.1 a</t>
  </si>
  <si>
    <t>Está na estrutura organizacional</t>
  </si>
  <si>
    <t>Marcelo Augusto</t>
  </si>
  <si>
    <t>A Gerência de TI faz parte da estrutura da Secretaria de Planejamento do TCE-GO (res 009/2012) 
http://tcenet.tce.go.gov.br/Downloads/Arquivos/002517/Proposta%20de%20Reestrutura%C3%A7%C3%A3o%20Organizacional%20para%20o%20Tribunal%20de%20Contas%20do%20Estado%20de%20Goi%C3%A1s%20%20-%20Oficial.pdf</t>
  </si>
  <si>
    <t>Necessita de revisão das atribuições vigentes, pois estão desatualizadas e destoam da realidade.</t>
  </si>
  <si>
    <t>7.1.4 d</t>
  </si>
  <si>
    <t>Tem regras de segurança da informação formalizadas: rede, armazenagem etc.</t>
  </si>
  <si>
    <t>O TCE-GO possui normativo de 2005 ainda vigente definindo uma política de segurança da informação. Necessita ser revisado para se adequar a evolução das práticas. (res 001/2005) 
http://tcenet.tce.go.gov.br/Downloads/Arquivos/000102/PSI_TCE.pdf</t>
  </si>
  <si>
    <t>Elaborar uma nova política de segurança da informação.</t>
  </si>
  <si>
    <t>7.2</t>
  </si>
  <si>
    <t>Política de Tecnologia da Informação</t>
  </si>
  <si>
    <t>7.2.1 a</t>
  </si>
  <si>
    <t>Comitê de TI</t>
  </si>
  <si>
    <t>Seguindo orientações de referência, criar um grupo de trabalho (comissão) para delimitar a natureza, as atribuições e a composição do Comitê, em seguida, instituir por meio de resolução.</t>
  </si>
  <si>
    <t>7.2.2 b</t>
  </si>
  <si>
    <t>Política de TI, aprovada pelo Comitê e implementada</t>
  </si>
  <si>
    <t>Após a implantação do Comitê, avaliar os principais aspectos de TI, conforme melhores práticas de governança e segurança da informação, estabelecer diretrizes, em seguida elaborar e implementar uma política, através de resolução</t>
  </si>
  <si>
    <t>7.2.3 c</t>
  </si>
  <si>
    <t>Plano estratégico de tecnologia da informação (plano de TI) ou Plano Diretor de Tencologia da Informação (PDTI) implementado e compatível com o planejamento estratégico do Tribunal (PET).</t>
  </si>
  <si>
    <t>Apesar de possuir um PETI vigente de 2013/2015, o mesmo não está alinhado a ao PET. O TCE-GO já iniciou o processo de elaboração de um PDTI alinhado que deve vigorar a partir do próximo ano.
Portaria 861/2015 e projeto no SGP. 
http://dec.tce.go.gov.br/downloads/diario/DIARIO_09-09-2015_4_131.pdf</t>
  </si>
  <si>
    <t>Revisar e aprovar o PDTI elaborado para 2016-2017, através de resolução administrativa.</t>
  </si>
  <si>
    <t>7.2.4 d</t>
  </si>
  <si>
    <t>Plano de gestão de risco em TI</t>
  </si>
  <si>
    <t>5. Revisão de processos de trabalho.</t>
  </si>
  <si>
    <t>Avaliar possíveis impactos de vulnerabilidades e ameaças sobre a infra-estrutura de TI, conforme melhores práticas de governança e segurança da informação; Elaborar e implementar Plano de Gestão; Pode demandar aquisição de equipamentos ou sistemas;</t>
  </si>
  <si>
    <t>QATC-10</t>
  </si>
  <si>
    <t>AGILIDADE NO JULGAMENTO DE PROCESSOS E GERENCIAMENTO DE PRAZOS PELOS TRIBUNAIS DE CONTAS.</t>
  </si>
  <si>
    <t>10.1</t>
  </si>
  <si>
    <t>Prazos para apreciação de processos (julgamento, emissão de parecer, registro etc.)</t>
  </si>
  <si>
    <t>10.1.1 a</t>
  </si>
  <si>
    <t>Contas de governo: até o final do exercício seguinte ao da sua apresentação ao Tribunal.</t>
  </si>
  <si>
    <t>Wilson Ferreira</t>
  </si>
  <si>
    <t>O TCE-GO aprecia as contas de governo em até 60 (sessenta) dias da data da apresentação das mesmas na Corte. Os Relatórios e Pareceres Prévios a partir do ano 2000 estão disponíveis no seguinte endereço eletrônico: http://www.tce.go.gov.br/CategoriaDownload?idCategoria=461</t>
  </si>
  <si>
    <t>Para manter a emissão do Relatório Prévio das Contas Anuais de Governo no prazo previsto no inciso I, do art. 26 da Constituição Estadual´é necessário solução d TI para receber e processar as informações e dados no novo padrão da Contabilidade Pública.</t>
  </si>
  <si>
    <t>10.3</t>
  </si>
  <si>
    <t>Medidas para assegurar maior celeridade à tramitação de processos (após a autuação)</t>
  </si>
  <si>
    <t>10.3.9 i</t>
  </si>
  <si>
    <t>Adota o processo eletrônico.</t>
  </si>
  <si>
    <t>Adriana Moraes</t>
  </si>
  <si>
    <t>Ver com a Gerência de TI</t>
  </si>
  <si>
    <t>10.4</t>
  </si>
  <si>
    <t>Medidas para eliminar ou reduzir o estoque de processos e gerenciar os prazos</t>
  </si>
  <si>
    <t>10.4.9 i</t>
  </si>
  <si>
    <t>Institui sistemática de monitoramento e gerenciamento do cumprimento dos prazos, com apoio de sistema informatizado, com identificação das não conformidades e a emissão de alertas eletrônicos de prazos para membros, servidores e unidades;</t>
  </si>
  <si>
    <t>Está no RITCE</t>
  </si>
  <si>
    <t>Recentemente foi aprovada a Resolução Normativa n° 7/2015, que criou o Serviço de Monitoramento subordinado à Secretaria de Controle Externo</t>
  </si>
  <si>
    <t>QATC-11</t>
  </si>
  <si>
    <t>CONTROLE EXTERNO CONCOMITANTE</t>
  </si>
  <si>
    <t>11.1</t>
  </si>
  <si>
    <t>Marco legal do controle concomitante</t>
  </si>
  <si>
    <t>11.1.3 c</t>
  </si>
  <si>
    <t>Possui normativo sobre prazos e regras para o envio de documentos e informações pelos jurisdicionados, preferencialmente por meio eletrônico, de forma a possibilitar o exercício tempestivo do controle externo concomitante .</t>
  </si>
  <si>
    <t>Foram fixados prazos para envio eletrônico de admissões e de relatórios referentes à execução orçamentária e financeira mensal. Para os editais de licitação, os prazos e as regras foram fixados, mas o envio ainda não é eletrônico.</t>
  </si>
  <si>
    <t>Levantar, informações e documentos que poderiam ser enviados por meio eletrônico, desenvolver plataforma para recepção de todos os documentos e informações, divulgar a ferramenta adotada, capacitar jurisdicionados e servidores para utlização da plataforma para envio e recepção dos dados.</t>
  </si>
  <si>
    <t>11.1.6 f</t>
  </si>
  <si>
    <t>Possui padrão de relatórios, pareceres e outros produtos técnicos, em função dos objetos e especificidades dos atos controlados.</t>
  </si>
  <si>
    <t>O TCE possui padrões de relatórios e instruções técnicas, mas sem considerar a especificidade dos atos controlados.</t>
  </si>
  <si>
    <t>4. Expedição de ato normativo interno (Portaria, Ordem de Serviço, Manual e afins)</t>
  </si>
  <si>
    <t>Desenvolver padrões de relatórios e instruções técnicas específicos para o controle concomitante, considerando a especifidade dos diferentes objetos passíveis de tais controles</t>
  </si>
  <si>
    <t>11.1.7 g</t>
  </si>
  <si>
    <t>Possui normativo sobre a sistemática interna de gerenciamento e controle de prazos e da qualidade do controle externo concomitante, abrangendo todas as suas fases e unidades responsáveis, preferencialmente com o uso de ferramentas eletrônicas e com a participação da Corregedoria, a quem cabe expedir alertas, notificações, orientações, recomendações e, se for o caso, propor a aplicação de sanções.</t>
  </si>
  <si>
    <t>Expedir normativo, desenvolver sistema informatizado que permita o controle dos prazos e emissão de alerta pelas unidades técnicas e pela Corregedoria</t>
  </si>
  <si>
    <t>11.2</t>
  </si>
  <si>
    <t>Planejamento e execução do controle concomitante</t>
  </si>
  <si>
    <t>11.2.8 h</t>
  </si>
  <si>
    <t>É subsidiado por ferramenta eletrônica que viabilize o recebimento, processamento e análise de documentos e informações dos jurisdicionados, bem como a emissão de relatórios, pareceres e outros documentos técnicos – autos digitais.</t>
  </si>
  <si>
    <t>Ver com TI qual a dimensão e complexidade de tal ferramenta</t>
  </si>
  <si>
    <t>11.2.13 m</t>
  </si>
  <si>
    <t>Tem seus resultados das fases do seu procedimento amplamente divulgados.</t>
  </si>
  <si>
    <t>Aprovar Resolução que estabeleça Política de Comunicação e defina as regras para divulgação de resultados de trabalhos de fiscalização, inclusive das etapas intermediárias do processo de trabalho</t>
  </si>
  <si>
    <t>11.4</t>
  </si>
  <si>
    <t>Controle concomitante das licitações, contratos, convênios e obras</t>
  </si>
  <si>
    <t>11.4.1 a</t>
  </si>
  <si>
    <t>Realiza o controle concomitante de licitações e contratos, ainda que por amostragem, com atendimento dos seguintes requisitos mínimos:
I) Possui sistema informatizado de acompanhamento das licitações, desde a publicação do edital à conclusão do contrato respectivo.
II) Procede à análise dos editais de licitações, antes do recebimento das propostas
III) Acompanha a legalidade e economicidade dos atos do processo licitatório, até a adjudicação;
IV) Expede medida cautelar, quando cabível, para sustação do procedimento eivado de ilegalidade
V) Determina as correções cabíveis nos procedimentos licitatórios</t>
  </si>
  <si>
    <t>Cláudio Márcio</t>
  </si>
  <si>
    <t>Os itens II, IV e V atendem e os itens I e III - não atendem, isto é:
I) o TCE não possui sistema informatizado de acompanhamento das licitações. II)Os Editais são protocolados na Corte para análise da legalidade, após a publicação dos mesmos (antes do recebimento das propostas.
III) A análise é procedida na Unidade Técnica, algumas vezes antes da abertura do procedimento licitatório e grande parte, após. Não é do conhecimento desta unidade de que a decisão ocorra em tempo hábil de realizar a adjudicação. 
IV) e V) Sim, sempre que cabível.</t>
  </si>
  <si>
    <t xml:space="preserve">1- Para atender aos itens I e III - finalizar e implementar o sistema "INFORMA" que está sendo desenvolvido pela TI deste TC que vai permitir o acompanhamento das licitações em tempo habil, bem como a verificação de todas as fases da licitação desde o aviso até a homologação final. 
</t>
  </si>
  <si>
    <t>11.4.2 b</t>
  </si>
  <si>
    <t>Realiza o controle concomitante de convênios, ainda que por amostragem, com atendimento dos seguintes requisitos mínimos:
I) Possui sistema informatizado de acompanhamento dos convênios, desde a sua celebração.
II) Procede, ainda que por amostragem, à análise dos termos de convênios antes da conclusão da sua execução;
III) Procede, ainda que por amostragem, à fiscalização da execução dos convênios;
IV) Expede medida cautelar, quando cabível, para sustação do procedimento eivado de ilegalidade.</t>
  </si>
  <si>
    <t>Zaquia Sebba</t>
  </si>
  <si>
    <t>Este Tribunal não realiza controle concomitante de convênios. É procedida fiscalização em eventuais convênios referentes a obras, quando solicitado, por algum motivo específico.</t>
  </si>
  <si>
    <t>Criação de sistema informatizado de acompanhamento dos convênios.
Revisão dos processos de trabalho.
Promover Alteração Regimental ou Aprovação de Resolução que torne obrigatória a prestação de informações periódicas pelo jurisdicionado e estabeleça critérios para fiscalização destes convênios.</t>
  </si>
  <si>
    <t>11.4.4 d</t>
  </si>
  <si>
    <t>Realiza o controle concomitante de atos de pessoal, ainda que por amostragem, com atendimento aos seguintes requisitos mínimos:
I) Possui sistema informatizado de acompanhamento dos atos de admissão
II) Procede à análise dos editais de concursos públicos
III) Procede à fiscalização da realização de concursos públicos
IV) Expede medida cautelar, quando cabível, para sustação dos atos considerados eivados de vícios
V) Aprecia o mérito da cautelar em até três meses de sua concessão
VI) Determina medidas corretivas na realização de concursos públicos</t>
  </si>
  <si>
    <t>Mônica França</t>
  </si>
  <si>
    <t>I) Atende, tem sistema informatizado (GRAD)
II) Atende, análise dos editais de concursos públicos é realizada eventualmente.
III) Atende, a fiscalização da realização de concursos públicos é realizada eventualmente.
IV) Atende, expede medida cautelar quando for o caso: processo nº: 201300047002269
V) Não Atende: não existe prazo para apreciação de mérito de cautelar.
VI) Exemplo no caso: http://www.tce.go.gov.br/Noticia/Detalha?noticia=968</t>
  </si>
  <si>
    <t>Em relação aos concursos públicos: não há o entendimento da Sec-Cexterno de que todos os editais tenham que ser previamente analisados. Há que se definir, portanto, se o TCE entende pela necessidade ou não de analisar 100% dos editais. Em um caso ou outro, faz-se necessário, de qualquer forma, revisar o processo de trabalho, normatizar, expedir manuais, recrutar e capacitar pessoal com essa finalidade, tendo em vista a escassez de quadros técnicos qualificados para essa atividade. O mesmo se aplica à fiscalização de concursos públicos que acontece de forma episódica, sendo necessário normatizar o assunto. Quanto ao prazo para apreciação de medidas cautelares, aplicam-se as medidas propostas no item anterior.</t>
  </si>
  <si>
    <t>QATC-12</t>
  </si>
  <si>
    <t>INFORMAÇÕES ESTRATÉGICAS PARA O CONTROLE EXTERNO</t>
  </si>
  <si>
    <t>12.1</t>
  </si>
  <si>
    <t>Marco Legal da unidade de informações estratégicas</t>
  </si>
  <si>
    <t>12.1.3 c</t>
  </si>
  <si>
    <t>Assegura que os dados sejam manuseados de acordo com a legislação nacional de proteção de dados pessoais e a privacidade, em especial o disposto no art. 5º, inc. X e XXXIII, da Constituição Federal e no art. 31, caput e § 2º, da Lei Federal nº 12.527/2011.</t>
  </si>
  <si>
    <t>Vitor Gobato</t>
  </si>
  <si>
    <t>Inexistência de política de segurança de informação que trate da proteção dos dados pessoais e a privacidade, bem como mecanismos que responsabilizem aquele que obtiver acesso e uso indevido dessas informações.</t>
  </si>
  <si>
    <t>Elaborar e aprovar resolução específica normatizando o serviço de Informações Estratégicas do TCE-GO, assegurando que os dados sejam manuseados de acordo com a legislação nacional de proteção de dados pessoais e a privacidade, em especial o disposto no art. 5º, inc. X e XXXIII, da Constituição Federal e no art. 31, caput e § 2º, da Lei Federal nº 12.527/2011.</t>
  </si>
  <si>
    <t>12.2</t>
  </si>
  <si>
    <t>Infraestrutura da unidade de informações estratégicas</t>
  </si>
  <si>
    <t>12.2.3 c</t>
  </si>
  <si>
    <t>Garante à unidade de informação estratégica a infraestrutura de tecnologia de informação e comunicação protegida e com acesso restrito aos profissionais lotados na unidade.</t>
  </si>
  <si>
    <t>Gerência de TI</t>
  </si>
  <si>
    <t>A TI não possui solução para atender essa necessidade.</t>
  </si>
  <si>
    <t>Infraestrutura de TI protegida e com acesso restrito aos profissionais lotados no Serviço de Informações Estratégicas</t>
  </si>
  <si>
    <t>12.3</t>
  </si>
  <si>
    <t>Competências da unidade de informações estratégicas</t>
  </si>
  <si>
    <t>12.3.5 e</t>
  </si>
  <si>
    <t>Adoção de medidas de segurança internas que visem à prevenção, detecção, obstrução e a neutralização de ações adversas de qualquer natureza que ameacem a tramitação, segurança e salvaguarda dos dados e conhecimentos, das pessoas, dos materiais, e das áreas e instalações de interesse das Unidades de Informações Estratégicas.</t>
  </si>
  <si>
    <t>Atende parcialmente.
Evidências:
Inciso V do Art. 9º da Resolução Normativa nº 007/2015:
Art. 9º Compete ao Serviço de Informações Estratégicas, além daquelas previstas no art. 4º, inc. II, desta Resolução: 
V - adotar medidas de segurança internas que visem à prevenção, detecção, obstrução e a neutralização de ações adversas de qualquer natureza que ameacem a tramitação, segurança e salvaguarda dos dados e conhecimentos, das pessoas, dos materiais, e das áreas e instalações de interesse da unidade de informações estratégicas;</t>
  </si>
  <si>
    <t>7. Aquisição de equipamentos/estrutura física</t>
  </si>
  <si>
    <t>12.3.6 f</t>
  </si>
  <si>
    <t>Proposição de medidas de segurança institucional visando a garantir a segurança, o sigilo e a proteção dos dados e conhecimentos produzidos;</t>
  </si>
  <si>
    <t>Atende parcialmente.
Evidências:
Inciso VI do Art. 9º da Resolução Normativa nº 007/2015:
Art. 9º Compete ao Serviço de Informações Estratégicas, além daquelas previstas no art. 4º, inc. II, desta Resolução: 
VI - propor medidas de segurança institucional visando a garantir a segurança, o sigilo e a proteção dos dados e conhecimentos produzidos;</t>
  </si>
  <si>
    <t>12.3.7 g</t>
  </si>
  <si>
    <t>Solicitação de informações estratégicas a órgãos e entidades que atuem nas áreas de fiscalização, investigação e inteligência;</t>
  </si>
  <si>
    <t>Evidências: Emails trocados com outras unidades de informações estratégicas da Rede INFOCONTAS.
Foram solicitadas e obtidas informações de outros órgãos por meio da Rede INFOCONTAS.
As informações são sigilosas e por esta razão não podem ser disponibilizadas.</t>
  </si>
  <si>
    <t>QATC-13</t>
  </si>
  <si>
    <t>ACOMPANHAMENTO DAS DECISÕES</t>
  </si>
  <si>
    <t>13.2</t>
  </si>
  <si>
    <t>Processos de acompanhamento da aplicação de multas, imputação de débitos, determinações e recomendações</t>
  </si>
  <si>
    <t>13.2.1 a</t>
  </si>
  <si>
    <t>Possui mecanismos informatizados de acompanhamento das decisões.</t>
  </si>
  <si>
    <t>Valeska Cunha</t>
  </si>
  <si>
    <t>Sistema Informatizado implantado - Controle das Deliberações - 
Não atende ao critério definido. 
Não foram apresentadas evidências suficientes.</t>
  </si>
  <si>
    <t>Embora haja um sistema informatizado implantado é previso uma reavaliação desse sistema para um melhor atendimento desta dimensão (aperfeiçoar o processo de monitoramento das deliberações)</t>
  </si>
  <si>
    <t>13.2..2 b</t>
  </si>
  <si>
    <t>Emite relatórios gerenciais sobre o acompanhamento das decisões</t>
  </si>
  <si>
    <t>Os relatórios gerados pelo sistema informatizado - Controle das Deliberações.
Observações: Os relatórios gerenciais expedidos referem-se apenas a decisões relativas a aplicação de multa/sanção e imputação de débito.
Iniciativas estão sendo implementadas no exercício de 2015 a partir das diretrizes estratégicas definidas pela atual gestão para aperfeiçoar o processo de monitoramento das deliberações do TCE-GO.</t>
  </si>
  <si>
    <t>Melhorias nos relatórios gerenciais expedidos pelos sistema informatizado visando a atender de forma satisfatória a todos os processos de acompanhamento das decisões que resultaram em deliberações.</t>
  </si>
  <si>
    <t>13.2.3 c</t>
  </si>
  <si>
    <t>Divulga relatórios sobre o acompanhamento das decisões</t>
  </si>
  <si>
    <t>Implementação de relatório que aborda o acompanhamento das decisões visando a sua divulgação</t>
  </si>
  <si>
    <t>DESENVOLVIMENTO LOCAL</t>
  </si>
  <si>
    <t>15.1</t>
  </si>
  <si>
    <t>Marco legal</t>
  </si>
  <si>
    <t>15.1.3 c</t>
  </si>
  <si>
    <t>Regulamenta e divulga regras e prazos para o envio de documentos e informações pelos jurisdicionados relativos ao cumprimento da Lei Complementar 123/2006, preferencialmente por meio eletrônico, de forma a possibilitar o controle externo concomitante sobre as contratações públicas.</t>
  </si>
  <si>
    <t>Definir que informações relativas ao tema devem ser enviadas ao TCE, sistematicamente, expedir resolução, desenvolver sistema para recepção das informações, divulgar ferramenta, treinar jurisdicionados</t>
  </si>
  <si>
    <t>QATC-16</t>
  </si>
  <si>
    <t>ORDEM NO PAGAMENTO PÚBLICO</t>
  </si>
  <si>
    <t>16.1.4 d</t>
  </si>
  <si>
    <t>Regulamenta e divulga prazos e regras para o envio de documentos e informações pelos jurisdicionados, comprobatórios do cumprimento da ordem cronológica nos pagamentos, preferencialmente por meio eletrônico.</t>
  </si>
  <si>
    <t>Pedro Bastos</t>
  </si>
  <si>
    <t>Não há qualquer normativa emitida pelo TCE-GO dessa obrigatoriedade.</t>
  </si>
  <si>
    <t>Editar e Aprovar resolução que normatize a obrigatoriedade do quesito</t>
  </si>
  <si>
    <t>16.2.6 f</t>
  </si>
  <si>
    <t>Produz, a partir das informações recebidas e das análises realizadas, indicadores de resultado acerca do cumprimento do disposto no art. 5º da Lei 8.666/93, dando ampla divulgação e transparência .</t>
  </si>
  <si>
    <t>Não há sistemática ou qualquer normativa/convênio nesse sentido.</t>
  </si>
  <si>
    <t>1- Implantar um sistema ou firmar termo de cooperação para acesso às informações que possibilitem o acompanhamento dos pagamentos e o cumprimento da ordem cronólica dos mesmos
2- após a implantação do sistema, avaliar o cumprimento da ordem cronólgica de pagamento, emitindo relatórios períodicos sobre o tema.</t>
  </si>
  <si>
    <t>QATC-26</t>
  </si>
  <si>
    <t>COMUNICAÇÃO COM A MÍDIA, COM OS CIDADÃOS E COM AS ORGANIZAÇÕES DA DA SOCIEDADE CIVIL</t>
  </si>
  <si>
    <t>Antônio Gomes e Alexandre Alfaix</t>
  </si>
  <si>
    <t>26.2</t>
  </si>
  <si>
    <t>Comunicação com os cidadãos e as organizações da sociedade civil</t>
  </si>
  <si>
    <t>26.2.2 b</t>
  </si>
  <si>
    <t>Incentiva os cidadãos a participar do processo de fiscalização oferecendo mecanismos para a apresentação e acompanhamento de denúncias (inclusive por meio de canais on-line, sempre que apropriado).</t>
  </si>
  <si>
    <t>Para a apresentação de denúncias é disponilizado link específico da Ouvidoria na página do Tribunal.
http://www.tce.go.gov.br/Ouvidoria</t>
  </si>
  <si>
    <t>Existem projetos estratégicos da ASCOM que poderão ajudar a atender este critério. Todos estão descritos no Plano Diretor do TCE 2015 (letras M, N e O) e muitos deles já foram encaminhados à Presidência para deliberação. Demanda também capacitação, solução de TI e revisão de processos de trabalho.</t>
  </si>
  <si>
    <t>26.2.3 c</t>
  </si>
  <si>
    <t>Faz uso adequado das mídias on-line (página da rede institucional, boletins por email, redes sociais etc)</t>
  </si>
  <si>
    <t>No ano de 2015 foram aprovados projetos estratégicos (iniciativas) no sentido de ampliar o uso de redes sociais.
Embora existam iniciativas em andamento ainda não foram concluídas/implementadas.
http://tcenet.tce.go.gov.br/Downloads/Arquivos/002517/PLANO%20ANUAL%202015.pdf
2015-N - Implementar programa de comunicação
com foco no estímulo ao controle social. 
2015-O - Realizar ações de comunicação
promovendo a função de Ouvidoria do Tribunal.</t>
  </si>
  <si>
    <t>26.4</t>
  </si>
  <si>
    <t>Divulgação das decisões na página do Tribunal de Contas na Internet</t>
  </si>
  <si>
    <t>26.4.3 c</t>
  </si>
  <si>
    <t>Instituiu espaço de destaque na página inicial do sítio para inserção das últimas decisões ou criou link, denominado ‘Decisões do TC’, remetendo à totalidade dos julgamentos;</t>
  </si>
  <si>
    <t>É possível acessar as últimas decisões por meio das pautas das sessões já realizadas cujo link está em destaque na página inicial.
http://www.tce.go.gov.br/
http://www.tce.go.gov.br/Pauta?data=2015-10-06
Entertanto, não há destaque específico para as últimas decisões.</t>
  </si>
  <si>
    <t>Para o atendimento do referido item serão necessárias alterações na seção TCE JURIS, que passará a se chamar DECISÕES DO TCE ou CONSULTA DE DECISÕES, com link na página inicial. O TCE Juris deverá ser simplificado, possibilitando a consulta por data, por assunto, por número do processo, por órgão de origem e por interessado.</t>
  </si>
  <si>
    <t>26.4.4 d</t>
  </si>
  <si>
    <t>Incluiu, nas publicações das ementas ou acórdãos no site, links para os respectivos processos, contendo, no mínimo, o voto condutor da decisão, o parecer ministerial e o relatório técnico;</t>
  </si>
  <si>
    <t>Apenas o relatório técnico não é publicado.
http://www.tce.go.gov.br/ConsultaProcesso?proc=277517</t>
  </si>
  <si>
    <t>É necessário estabelecer com a TI rotinas, ferrramentas e procedimentos que permitam atender a iniciativa. Também é necessário que a alta direção concorde com a liberação do conteúdo dos relatórios técnicos.</t>
  </si>
  <si>
    <t>26.4.6 f</t>
  </si>
  <si>
    <t>Possui mecanismos de aferição da divulgação das suas decisões na página da Internet.</t>
  </si>
  <si>
    <t>É necessário estabelecer com a TI rotinas, ferrramentas e procedimentos que permitam atender a iniciativa.</t>
  </si>
  <si>
    <t>26.4.7 g</t>
  </si>
  <si>
    <t>Transmite ao vivo as sessões pela internet e/ou outros meios de comunicação e disponibiliza os respectivos arquivos em vídeo.</t>
  </si>
  <si>
    <t>Transmite ao vivo as sessões de Tribunal Pleno ( as sessões das Câmaras apenas o áudio), mas não disponibiliza os respectivos arquivos em vídeo.
http://www.tce.go.gov.br/SessaoPlenaria/AoVivo</t>
  </si>
  <si>
    <t>É necessário estabelecer com a TI rotinas, ferrramentas e procedimentos que permitam atender a iniciativa. Ver item 26.6.3.f, pois a adoção desta iniciativa está contemplada naquela.</t>
  </si>
  <si>
    <t>QATC-27</t>
  </si>
  <si>
    <t>OUVIDORIA (Sr. Wolf)</t>
  </si>
  <si>
    <t>Sr. Wolf</t>
  </si>
  <si>
    <t>27.1</t>
  </si>
  <si>
    <t>Estrutura da Ouvidoria</t>
  </si>
  <si>
    <t>27.1.6 f</t>
  </si>
  <si>
    <t>Dispõe de espaço próprio na intranet e na página do Tribunal na internet para atendimento e divulgação de informações e resultados</t>
  </si>
  <si>
    <t>Existe espaço na página do Tribunal para recebimento de sugestões, denúncias, reclamações e qualquer outro tipo de mensagem.
http://www.tce.go.gov.br/Ouvidoria</t>
  </si>
  <si>
    <t>Iniciativa já atendida em setembro de 2015</t>
  </si>
  <si>
    <t>simples</t>
  </si>
  <si>
    <t>27.2</t>
  </si>
  <si>
    <t>Atividades da Ouvidoria</t>
  </si>
  <si>
    <t>27.2.8 h</t>
  </si>
  <si>
    <t>Cumpre as determinações da LAI (Lei nº 12.527/2011), ofertando à sociedade informações e dados sobre a gestão do Tribunal em busca da efetivação da transparência e do direito de acesso à informação</t>
  </si>
  <si>
    <t>Existem informações acerca da execução orçamentária e financeira do Tribunal e dados da folha de pagamento.
As informações e sua disposição na página do TCE não são geridas pela Ouvidoria.
A usabilidade, a facilidade de acesso e a qualidade das informações disponíveis merecem aprimoramento.</t>
  </si>
  <si>
    <t>Realizar estudo para cumprimento da LAI; Revisar Procedimentos de disponibilização/gestão das informações no Portal;Readequar os programas de informática. Capacitar servidor .</t>
  </si>
  <si>
    <t>Critério</t>
  </si>
  <si>
    <t>NC</t>
  </si>
  <si>
    <t>QATC</t>
  </si>
  <si>
    <t>A atuação das unidades técnicas (Gerência e Serviço) está amparada pela Resolução Normativa nº 009/12, onde estão definidas suas competências. http://tcenet.tce.go.gov.br/Downloads/Arquivos/002517/Proposta%20de%20Reestrutura%C3%A7%C3%A3o%20Organizacional%20para%20o%20Tribunal%20de%20Contas%20do%20Estado%20de%20Goi%C3%A1s%20%20-%20Oficial.pdf
Contudo, as condições objetivas de recursos (humanos, materiais e tecnológicos), espaço físico e treinamento estão aquém do necessário para viabilizar a efetiva atuação das mesmas e o alcance dos resultados esperados.</t>
  </si>
  <si>
    <t>QATC- 04</t>
  </si>
  <si>
    <t>QATC- 05</t>
  </si>
  <si>
    <t>QATC- 06</t>
  </si>
  <si>
    <t>QATC- 07</t>
  </si>
  <si>
    <t>ITEM</t>
  </si>
  <si>
    <t>ITEM DESC</t>
  </si>
  <si>
    <t>QATC DESC</t>
  </si>
  <si>
    <t>QATC- 01</t>
  </si>
  <si>
    <t>QATC-15</t>
  </si>
  <si>
    <t>ALTERAR NECESSIDADE PARA ABRANGER ESCOPO DA INICIATIVA</t>
  </si>
  <si>
    <t>Apesar da iniciativa se tratar de normativo, o item guarda correlação com meio eletrônico/sistema informatizado, portanto relaciona-se com necessidade de solução de TI</t>
  </si>
  <si>
    <t>Apesar da iniciativa do item estar sob responsabilidade outra área relaciona-se com necessidade de solução de TI</t>
  </si>
  <si>
    <t>Verificar se a iniciativa pode contemplar necessidade especifíca da unidade</t>
  </si>
  <si>
    <t>MAPA DE CONTROLE E MONITORAMENTO DOS ÍNDICES DE QUALIDADE E AGILIDADE DO CONTROLE EXTERNO - ATRICON / 2015</t>
  </si>
  <si>
    <t>RESULTADO DA PESQUISA POR DOMÍNIO, INDICADOR, DIMENSÃO e CRITÉRIOS</t>
  </si>
  <si>
    <t>PEI15</t>
  </si>
  <si>
    <t>PEI20</t>
  </si>
  <si>
    <t>PD 2015-F</t>
  </si>
  <si>
    <t>PD 2015-G</t>
  </si>
  <si>
    <t>PD 2015-H</t>
  </si>
  <si>
    <t>PD 2015-I</t>
  </si>
  <si>
    <t>PD 2015-J</t>
  </si>
  <si>
    <t>PD 2015-K</t>
  </si>
  <si>
    <t>PD 2015-L</t>
  </si>
  <si>
    <t>PD 2015-N</t>
  </si>
  <si>
    <t>PD 2015-U</t>
  </si>
  <si>
    <t>PD 2015-V</t>
  </si>
  <si>
    <t>PD 2015-W</t>
  </si>
  <si>
    <t>PEI01</t>
  </si>
  <si>
    <t>PEI02</t>
  </si>
  <si>
    <t>PEI03</t>
  </si>
  <si>
    <t>PEI04</t>
  </si>
  <si>
    <t>PEI05</t>
  </si>
  <si>
    <t>PEI07</t>
  </si>
  <si>
    <t>PEI11</t>
  </si>
  <si>
    <t>PEI12</t>
  </si>
  <si>
    <t>PEI18</t>
  </si>
  <si>
    <t>PEI21</t>
  </si>
  <si>
    <t>PEI22</t>
  </si>
  <si>
    <t>PEI23</t>
  </si>
  <si>
    <t>PEI06</t>
  </si>
  <si>
    <t>PEI5</t>
  </si>
  <si>
    <t>Alinhamento TI</t>
  </si>
  <si>
    <t>Alinhamento Estratégia</t>
  </si>
  <si>
    <t>Critérios MMD</t>
  </si>
  <si>
    <t>GAMB</t>
  </si>
  <si>
    <t>GER-CONTAS</t>
  </si>
  <si>
    <t>GCCR</t>
  </si>
  <si>
    <t>SEC-GERAL</t>
  </si>
  <si>
    <t>GCSM</t>
  </si>
  <si>
    <t>GCKT</t>
  </si>
  <si>
    <t xml:space="preserve">GAHH </t>
  </si>
  <si>
    <t>SERV-JURISP</t>
  </si>
  <si>
    <t>SERV-REGISTRO</t>
  </si>
  <si>
    <t>SERV-ARQUIVO</t>
  </si>
  <si>
    <t>GER-LICITACAO</t>
  </si>
  <si>
    <t xml:space="preserve">GER-ATOSPESSOAL </t>
  </si>
  <si>
    <t>DIR-JUR</t>
  </si>
  <si>
    <t xml:space="preserve">SERV-JURISP </t>
  </si>
  <si>
    <t>GCEF</t>
  </si>
  <si>
    <t>CO-INTERNO</t>
  </si>
  <si>
    <t>GER-REGISTRO</t>
  </si>
  <si>
    <t>GAFR</t>
  </si>
  <si>
    <t xml:space="preserve">SERV-ATOSPESSOAL </t>
  </si>
  <si>
    <t>SERV-PROTOCOLO</t>
  </si>
  <si>
    <t xml:space="preserve">SERV-PUBLICA </t>
  </si>
  <si>
    <t>GER-COMUNICA</t>
  </si>
  <si>
    <t xml:space="preserve">SEC-GERAL </t>
  </si>
  <si>
    <t xml:space="preserve">SERV-ARQUIVO </t>
  </si>
  <si>
    <t>GER-GDOC</t>
  </si>
  <si>
    <t>GER-ADMIN</t>
  </si>
  <si>
    <t>ILB</t>
  </si>
  <si>
    <t>SERV-LOGISTICA</t>
  </si>
  <si>
    <t>SEC-ADMIN</t>
  </si>
  <si>
    <t>DIR-PLAN</t>
  </si>
  <si>
    <t>SERV-ESTRATEGICO</t>
  </si>
  <si>
    <t>MPC</t>
  </si>
  <si>
    <t>OBJ</t>
  </si>
  <si>
    <t>SIGLA</t>
  </si>
  <si>
    <t>Desenvolver sistema de recepção de dados contábeis (TCE-CONTEX)</t>
  </si>
  <si>
    <t>Implantação do sistema para fiscalização de licitações e contratos (TCE-INFORMA)</t>
  </si>
  <si>
    <t>Desenvolver sistema pra recepção de dados através de formulários dinâmicos (TCE-INFORMA)</t>
  </si>
  <si>
    <t>Definir formulários  no sistema para fiscalização de licitações e contratos</t>
  </si>
  <si>
    <t xml:space="preserve">Definir sistemática de recepção de dados contábeis </t>
  </si>
  <si>
    <t>Definir layouts de recepção de dados contábeis</t>
  </si>
  <si>
    <t>PDTI - TCEGO</t>
  </si>
  <si>
    <t>Avaliar sistemática de acompanhamento de decisões</t>
  </si>
  <si>
    <t>Desenvolver sistema para monitoramento de decisões</t>
  </si>
  <si>
    <t>Desenvolver projeto de sistema para consolidação de normas e jurisprudência</t>
  </si>
  <si>
    <t>Estabelecer Central de Monitoramento de Ativos (Implantação do ZABBIX)</t>
  </si>
  <si>
    <t>Elaborar especificação para aquisição de licenças de sistema de virtualização (VM-WARE)</t>
  </si>
  <si>
    <t>Elaborar pesquisa orçamentária para aquisição de licenças de sistema de virtualização VM-WARE (SISTEMA)</t>
  </si>
  <si>
    <t>Elaborar especificação para aquisição de ativos da rede SAN do Datacenter e memórias para equipamentos servidores</t>
  </si>
  <si>
    <t>Elaborar pesquisa orçamentária para aquisição de ativos da rede SAN do Datacenter e memórias para equipamentos servidores</t>
  </si>
  <si>
    <t>LICITAÇÃO para aquisição de ativos da rede SAN do Datacenter e memórias para equipamentos servidores</t>
  </si>
  <si>
    <t>Aprovar a implantação de Comitê de TI</t>
  </si>
  <si>
    <t>Definir modelos de mensuração e de acordos de nível de serviço e metologia (MGDA-TCE) para desenvolvimento de sistemas</t>
  </si>
  <si>
    <t>Implementar recursos de pesquisa avançada no sistema GPRO</t>
  </si>
  <si>
    <t>Gerenciar contratação de outsourcing de impressoras</t>
  </si>
  <si>
    <t>NC57</t>
  </si>
  <si>
    <t>Gerenciar contratação de mão de obra de desenvolvimento de sistemas e sutentação tecnólogica</t>
  </si>
  <si>
    <t>Garantir continuidade ao negócio através da manutenção e evolução de sistemas diversos</t>
  </si>
  <si>
    <t>PENTAHO</t>
  </si>
  <si>
    <t>Desenvolver módulo de relatório do artigo 30 (novo)</t>
  </si>
  <si>
    <t>Conclusão do desenvolvimento do sistema Artigo 30 (novo)</t>
  </si>
  <si>
    <t>Realizar a implantação do novo sistema Artigo 30 (novo)</t>
  </si>
  <si>
    <t>Autorizar a implantação do novo sistema Artigo 30 (novo)</t>
  </si>
  <si>
    <t>Levantamento de necessidades para o monitoramento de tramitação de processos e produção de documentos</t>
  </si>
  <si>
    <t>Realizar levantamento de necessidadades para elaboração de sistema para solicitação de diárias</t>
  </si>
  <si>
    <t>Implantar sistema de gestão da manutenção predial</t>
  </si>
  <si>
    <t>Garantir continuidade ao negócio através da disponibilização de serviços de suporte técnico ao usuário (CENTRAL DE SERVIÇOS - HELPDESK)</t>
  </si>
  <si>
    <t>Aprimorar a pesquisa textual no Diário Eletrônico de Contas</t>
  </si>
  <si>
    <t>Efetuar correção dos Gráficos de Entrada e Saída por Mês da ESTAÇÃO DIGITAL</t>
  </si>
  <si>
    <t>Alterar do formulário de cálculo que não permitia gerar o cálculo se não houvesse interessado no GCAR</t>
  </si>
  <si>
    <t>Corrigir erros na tela de criação de  Outros tipos de documentos no GPRO</t>
  </si>
  <si>
    <t>Permitir gerar Ofícios sem vinculo de processos no GPRO</t>
  </si>
  <si>
    <t>Aprimorar a visualização e disponibilização dos documentos de Julgamento na ESTAÇÃO DIGITAL</t>
  </si>
  <si>
    <t>Efetuar nanutenção corretiva para uso em equipamentos 64bits no GREG</t>
  </si>
  <si>
    <t xml:space="preserve"> Alterar formulários Aposentadoria, Pensão, Reforma, Reserva e Admissão para gravar dados de usuário, data e chefe do setor e mudança dos relatórios no GREG</t>
  </si>
  <si>
    <t xml:space="preserve">Efetuar manutenção no software GREG (Gerência de Registro) permitindo UPLOAD do documento de registro nas funcionalidades do sistema </t>
  </si>
  <si>
    <t>Efetuar manutenções no sistema para atendimento das Sessões Plenárias, inserir carimbos e numerações nos acórdãos e resoluções gerados pelo sistema PLENÁRIO DIGITAL</t>
  </si>
  <si>
    <t>Implementar funcionalidade de Quadro de Avisos no sistema PUBLICA</t>
  </si>
  <si>
    <t>Permitir alteração da data de publicação no sistema PUBLICA</t>
  </si>
  <si>
    <t xml:space="preserve">Efetuar integração com sistema TFS, Criação da Suite do projeto no TFS, criação da solução do projeto, cadastro de conexão, implementação configuração De/Para, implementação do serviço de sincronização de tarefas do sistema REDMINE PROJETOS TI </t>
  </si>
  <si>
    <t xml:space="preserve">Corrigir visualização dos documentos de manifestações de auditoria no website do tce, efetuar manutenção na página do Geoobras, efetuar ajustes corretivos e evolutivos no serviço TCE-PUSH do SITE INSTITUCIONAL </t>
  </si>
  <si>
    <t>Efetuar processamento de carga de dados das DUEOF'S, manutenções em dados para consolidar fechamento mensal do Tesouro - sistema GORC</t>
  </si>
  <si>
    <t>Gerenciar outras contratações acessórias</t>
  </si>
  <si>
    <t>Priorizar e revisar/atualizar manuais de sistemas selecionados</t>
  </si>
  <si>
    <t>Documentar arquitetura .NET de desenvolvimento de sistemas</t>
  </si>
  <si>
    <t>Sustentação da infraestrutura de TI da nova sede</t>
  </si>
  <si>
    <t>Acompanhar a mudança do Datacenter (Moving) - NOVA SEDE</t>
  </si>
  <si>
    <t>Acompanhar a instalação dos ativos de TI da NOVA SEDE (SWITCHES, WIRELESS, CFTV, CONTROLES DE ACESSO)</t>
  </si>
  <si>
    <t>Promover estudo sobre a necessidade de contratação de pessoal efetivo para a área de TI</t>
  </si>
  <si>
    <t>Executar plano de Capacitação dos servidores de TI</t>
  </si>
  <si>
    <t>Promover ações de avaliação de desempenho e de reconhecimento (meritocracia) e valorização dos servidores da TI.</t>
  </si>
  <si>
    <t>Automatizar processo de gestão usuários considerando desligamentos no sistemas da Gestão de Pessoas.</t>
  </si>
  <si>
    <t>Revisar procedimentos de gestão usuários e níveis de acesso aos sistemas do TCE</t>
  </si>
  <si>
    <t>Adequação dos sistemas do TCE-GO para viabilizar que os Conselheiros substitutos relatem processos</t>
  </si>
  <si>
    <t>Construção de relatórios dinâmicos para o sistema de gestão de fiscalização - SGF, utilizando ferramenta de BI</t>
  </si>
  <si>
    <t>Permitir que o sistema SINI seja executado no Terminal Server e em todas os sistemas operacionais existentes no âmbito do TCE-GO.</t>
  </si>
  <si>
    <t>Executar atividades de desenvolvimento gráfico e tratamentos de fotos para o Jornal Mural ACONTCE</t>
  </si>
  <si>
    <t>Prover serviços de apoio técnico, realizar o gerenciamento de contratos, ativos e soluções de TI</t>
  </si>
  <si>
    <t>Promover a continuidade dos serviços de TI em níveis acordados, apropriados ao negócio, através da gestão de contratações, soluções e ativos diversos. Prover suporte técnico adequado através da central de serviços (HELPDESK).</t>
  </si>
  <si>
    <t>SERV-SUPORTE</t>
  </si>
  <si>
    <t>Aprovar o PDTI 2018-2019</t>
  </si>
  <si>
    <t>Realizar detalhamento de necessidades de solução de gerenciamento de processos organizacionais</t>
  </si>
  <si>
    <t>Implantar solução de gestão do conhecimento (WIKI)</t>
  </si>
  <si>
    <t>Avaliar viabilidade da plataforma existente do sistema de helpdesk para atender a manutenção predial</t>
  </si>
  <si>
    <t>Avaliar alternativa para instalação de Equipamentos para Transmissão das Sessões Plenárias - NOVA SEDE</t>
  </si>
  <si>
    <t>Realizar atividadades de apoio técnico de AUDIOVISUAL em cursos, paletras, Sessões Plenárias e de Câmara, inclusive de transmissão (streaming) e gravação, quando for o caso.</t>
  </si>
  <si>
    <t>UNIDADE RESPONSÁVEL</t>
  </si>
  <si>
    <t>EM ANDAMENTO</t>
  </si>
  <si>
    <t>INVESTIMENTO / CUSTEIO</t>
  </si>
  <si>
    <t>VALOR ESTIMADO</t>
  </si>
  <si>
    <t>A08.02</t>
  </si>
  <si>
    <t>A24.04</t>
  </si>
  <si>
    <t>A53.02</t>
  </si>
  <si>
    <t>A57.06</t>
  </si>
  <si>
    <t>A42.13</t>
  </si>
  <si>
    <t>SISTEMA (CUSTEIO)</t>
  </si>
  <si>
    <t>Contratação de Serviços de Manutenção de STORAGE (Armazenamento)</t>
  </si>
  <si>
    <t>Contratação de Serviços de Manutenção de BANCO DE DADOS - ORACLE</t>
  </si>
  <si>
    <t>Efetivar aquisição de licenças de sistema de virtualização VM-WARE (Adesão ata)</t>
  </si>
  <si>
    <t>Realizar atualização do Pacote Microsoft Office</t>
  </si>
  <si>
    <t>Realizar investimento em solução de BI</t>
  </si>
  <si>
    <t>* Os valores na tabela abaixo são meras estimativas, considerando cenários econômicos ná época de levantamento realizado. 
Pesquisas orçamentárias deverão preceder cada ação a fim de comprovar o real valor de mercado.</t>
  </si>
  <si>
    <t>Realizar aquisição de Software Antivírus</t>
  </si>
  <si>
    <t>SISTEMAS DE INFORMAÇÃO</t>
  </si>
  <si>
    <t>SERVIÇOS DE TI</t>
  </si>
  <si>
    <t>INFRAESTRUTURA DE TI</t>
  </si>
  <si>
    <t>GOVERNANÇA E GESTÃO DE TI</t>
  </si>
  <si>
    <t>PESSOAL DE TI</t>
  </si>
  <si>
    <t>TOTAIS</t>
  </si>
  <si>
    <t>META - QTD</t>
  </si>
  <si>
    <t>CATEGORIA</t>
  </si>
  <si>
    <t xml:space="preserve">Cumprir as ações planejadas </t>
  </si>
  <si>
    <t>ID Meta</t>
  </si>
  <si>
    <t xml:space="preserve">Iniciativas (Ações) Estratégicas </t>
  </si>
  <si>
    <t>Perspectiva</t>
  </si>
  <si>
    <t>Objetivo Estratégico</t>
  </si>
  <si>
    <t>2015-A - Desenvolver projeto de revisão da estrutura organizacional considerando a experiência obtida na implantação da RESOLUÇÃO 009/2012, as normas de auditoria governamental e a compatibilidade com o novo plano de cargos, carreiras e vencimentos.</t>
  </si>
  <si>
    <t>Processos Internos</t>
  </si>
  <si>
    <t>Objetivo 2.01: Melhorar a gestão organizacional.</t>
  </si>
  <si>
    <t>2015-B - Desenvolver projeto de revisão da gestão documental no âmbito do Tribunal considerando as melhores práticas de gestão documental existentes.</t>
  </si>
  <si>
    <t>2015-C - Desenvolver projeto de revisão das bases normativas do TCE-GO com foco na adequação e alinhamento das resoluções normativas e administrativas existentes. (LOTCE e RITCE)</t>
  </si>
  <si>
    <t>Objetivo 2.02.: Aprimorar a estrutura normativa de suporte ao controle.</t>
  </si>
  <si>
    <t>2015-D – Promover plano de fiscalização alinhado às diretrizes estabelecidas no plano de diretrizes 2015, com foco em resultados, em processos de trabalho e no monitoramento e cumprimento das deliberações.</t>
  </si>
  <si>
    <t>Objetivo 2.03.: Aprimorar e padronizar os processos finalísticos e os instrumentos de controle.</t>
  </si>
  <si>
    <t xml:space="preserve">2015-F – Desenvolver projeto para normatizar e manualizar os procedimentos referentes a análise, estudo, indexação, catalogação e sistematização da jurisprudência relativa às decisões das Câmaras e do Tribunal Pleno. </t>
  </si>
  <si>
    <t>2015-G - Desenvolver projeto para ampliar o acesso a dados e sistemas para o controle externo com foco no processamento de dados e na atuação por meio de técnicas de inteligência.</t>
  </si>
  <si>
    <t>Objetivo 2.04.: Ampliar a utilização da tecnologia da informação no âmbito das atividades organizacionais.</t>
  </si>
  <si>
    <t>2015-H - Promover a celebração de convênios e parcerias que possibilitem o acesso a dados e informações de modo eletrônico tanto para uso no controle externo quanto para divulgação para a sociedade.</t>
  </si>
  <si>
    <t>Objetivo 2.05.: Estabelecer parcerias com outras instituições.</t>
  </si>
  <si>
    <t>2015-I - Promover a celebração de parcerias e convênios com foco no desenvolvimento de conhecimentos, habilidades e atitudes essenciais aos servidores do Tribunal de Contas.</t>
  </si>
  <si>
    <t>2015-J – Promover ações de cooperação, orientação e/ou integração com o poder público estadual. (PPA, LDO, LOA, grandes obras, etc.)</t>
  </si>
  <si>
    <t>Objetivo 2.06.: Implementar ações orientativas para os jurisdicionados e para a sociedade.</t>
  </si>
  <si>
    <t>2015-K – Estabelecer metodologia e critérios institucionais, para redução de estoque de processos e do tempo de trâmite.</t>
  </si>
  <si>
    <t>Objetivo 2.07.: Reduzir o tempo de trâmite (análise, apreciação, deliberação e julgamento) processual.</t>
  </si>
  <si>
    <t>2015-L - Ampliar e uniformizar o uso de técnicas de auditoria nos procedimentos ligados aos processos de controle externo.</t>
  </si>
  <si>
    <t>2015-M - Promover a publicação dos resultados das ações de fiscalização.</t>
  </si>
  <si>
    <t>Objetivo 2.10.: Melhorar a comunicação e o relacionamento com o público interno e externo.</t>
  </si>
  <si>
    <t xml:space="preserve">2015-N - Implementar programa de comunicação com foco no estímulo ao controle social. </t>
  </si>
  <si>
    <t>2015-O - Realizar ações de comunicação promovendo a função de Ouvidoria do Tribunal.</t>
  </si>
  <si>
    <t>Objetivo 2.11.: Criar condições para melhorar o exercício do controle social.</t>
  </si>
  <si>
    <t>2015-P – Aprovar e implementar plano anual de capacitação para o Tribunal contemplando as competências essenciais necessárias e o desenvolvimento dos servidores na carreira.</t>
  </si>
  <si>
    <t>Pessoas e Inovação</t>
  </si>
  <si>
    <t>3.02. Objetivo: Desenvolver competências transversais, técnicas e gerenciais para o alcance da estratégia.</t>
  </si>
  <si>
    <t>2015-Q – Aprovar e implementar plano de formação de novos servidores.</t>
  </si>
  <si>
    <t>2015-R – Definir e aprovar a destinação de recursos do fundo de modernização do Tribunal para 2015 com foco na implementação do plano anual de capacitação e do plano de formação de novos servidores.</t>
  </si>
  <si>
    <t>2015-S – Implementar os direitos previstos no plano de cargos, carreiras e vencimentos.</t>
  </si>
  <si>
    <t>Objetivo 3.03.: Ter servidores valorizados e comprometidos com a instituição.</t>
  </si>
  <si>
    <t>2015-T – Conceber e implementar programa de reconhecimento e valorização dos servidores do Tribunal.</t>
  </si>
  <si>
    <t>2015-U – Aprimorar o processo de avaliação de desempenho institucional e dos servidores.</t>
  </si>
  <si>
    <t>Objetivo 3.04.: Desenvolver a cultura organizacional orientada para resultados.</t>
  </si>
  <si>
    <t>2015-V - Conclusão das obras da nova sede.</t>
  </si>
  <si>
    <t>Objetivo 4.01.: Adequar a estrutura física e os serviços para a realização da estratégia.</t>
  </si>
  <si>
    <t>2015-W - Readequar o Projeto Mudança de Sede e executá-lo.</t>
  </si>
  <si>
    <t xml:space="preserve">Orçamento e Logística
</t>
  </si>
  <si>
    <t>2015-E – Desenvolver projeto para normatizar e manualizar os procedimentos definidos para os instrumentos de fiscalização e o uso do Sistema de Gestão da Fiscalização - SGF.</t>
  </si>
  <si>
    <t>Executar plano de capacitação dos servidores (NC21)</t>
  </si>
  <si>
    <t>OBJETIVO</t>
  </si>
  <si>
    <t>DESCRIÇÃO</t>
  </si>
  <si>
    <t>ATENDIDAS</t>
  </si>
  <si>
    <t>Concluído</t>
  </si>
  <si>
    <t>M10</t>
  </si>
  <si>
    <t>M11</t>
  </si>
  <si>
    <t>M12</t>
  </si>
  <si>
    <t>M13</t>
  </si>
  <si>
    <t>Realizar a manutenção corretiva e evolutiva nos sistemas em produção conforme demandas pontuais dos usuários</t>
  </si>
  <si>
    <t>NC58</t>
  </si>
  <si>
    <t>NC59</t>
  </si>
  <si>
    <t>NC60</t>
  </si>
  <si>
    <t>Prover solução de gestão corporativa de riscos</t>
  </si>
  <si>
    <t>Prover solução de gestão de convênios</t>
  </si>
  <si>
    <t>Aprimorar o portal de acesso a informação (SIC)</t>
  </si>
  <si>
    <t>NECESSIDADE CRIADA PARA ATENDER AO CRITÉRIO</t>
  </si>
  <si>
    <t>Prover canal de comunicação para que os servidores e cidadãos informem suspeitas de irregularidades</t>
  </si>
  <si>
    <t>Prover solução de gestão corporativa de riscos (MMD)</t>
  </si>
  <si>
    <t>Prover solução para gestão de convênios (MMD)</t>
  </si>
  <si>
    <t>Necessidade de solução de gestão corporativa de riscos (MMD)</t>
  </si>
  <si>
    <t>Necessidade de solução para gestão de convênios (MMD)</t>
  </si>
  <si>
    <t>A58.01</t>
  </si>
  <si>
    <t>OUVIDORIA</t>
  </si>
  <si>
    <t>Aprimorar a Governança de TI</t>
  </si>
  <si>
    <t>Incorporar soluções efetivas de TI nos processos organizacionais</t>
  </si>
  <si>
    <t>Promover a Segurança da Informação</t>
  </si>
  <si>
    <t>Aprimorar entrega de soluções de TI</t>
  </si>
  <si>
    <t>Aprimorar os processos organizacionais de TI</t>
  </si>
  <si>
    <t>Garantir a atualização e adequação da infraestrutura, sistemas e serviços de TI</t>
  </si>
  <si>
    <t>Garantir a disponibilidade de sistemas e serviços de TI essenciais ao Tribunal</t>
  </si>
  <si>
    <t>Manter adequado o quadro de servidores de TI para a execução da estratégia</t>
  </si>
  <si>
    <t>Aprimorar a aplicação de recursos e investimentos em TI</t>
  </si>
  <si>
    <t>ORÇAMENTO</t>
  </si>
  <si>
    <t>PERSPECTIVA</t>
  </si>
  <si>
    <t>SERVIÇOS
 E INFRAESTRUTURA</t>
  </si>
  <si>
    <t xml:space="preserve">PROCESSOS 
INTERNOS
</t>
  </si>
  <si>
    <t>CONTRIBUIÇÃO PARA A INSTITUIÇÃO</t>
  </si>
  <si>
    <t>PESSOAS</t>
  </si>
  <si>
    <t>Implementar a governança alinhando a sua atuação com o planejamento estratégico institucional, padronizando seus procedimentos e potencializando o uso de seus recursos.</t>
  </si>
  <si>
    <t>Quando possível. implementar soluções de TI nas atividades exercidas por pessoas, com o intuito de apoiar e aumentar a eficiência e eficácia dos processos organizacionais.</t>
  </si>
  <si>
    <t>Promover a garantia da integridade, a disponibilidade e a confidencialidade das nformações geradas e custodiadas pelo Tribunal, de acordo com as melhores práticas de segurança da Informação.</t>
  </si>
  <si>
    <t>Melhorar a entrega de soluções de TI com qualidade e presteza para garantir a satisfação do cliente.</t>
  </si>
  <si>
    <t>Mapear e Aperfeiçoar a execução de atividades internas da TI para que sejam eficazes e eficientes</t>
  </si>
  <si>
    <t>Manter o parque tecnológico atualizado e diponível para suportar as ações do negócio.</t>
  </si>
  <si>
    <t>Promover o desenvolvimento de conhecimentos, habilidades e atitudes dos servidores 
de TI, a fim de que tenham condições de atuar para o alcance dos objetivos 
estratégicos.</t>
  </si>
  <si>
    <t>Aumentar o número de servidores da equipe de TI do Tribunal, visando suprir defasagem 
já existente e atender os objetivos estratégicos do PDTI</t>
  </si>
  <si>
    <t>Aplicar recursos e investmentos na TI no que somente tratá resultados para a Instituição</t>
  </si>
  <si>
    <t>REFERENCIAL ESTRATÉGICO DE TI</t>
  </si>
  <si>
    <t>MISSÃO</t>
  </si>
  <si>
    <t>Prover serviços de TI alinhados às necessidades do TCE-GO, agregando valor ao cumprimento da missão institucional.</t>
  </si>
  <si>
    <t>VISÃO</t>
  </si>
  <si>
    <t>Ser reconhecida como unidade estratégica do TCE-GO pela qualidade, eficiência e relevância dos serviços prestados.</t>
  </si>
  <si>
    <t>VALORES</t>
  </si>
  <si>
    <t>Transparência, Efetividade, Colaboração, Celeridade.</t>
  </si>
  <si>
    <t>Promover a capacitação dos servidores de TI</t>
  </si>
  <si>
    <t>Conclusão da solução GRAC - Registro de atos de concessão</t>
  </si>
  <si>
    <t>Monitoramento contínuo do PDTI 2016-2018 afim de garantir sua execução, além de promover transparência das ações de TI para o Tribunal</t>
  </si>
  <si>
    <t>MMD-TC</t>
  </si>
  <si>
    <t>Desenvolver sistema para consolidação de normas e jurisprudência</t>
  </si>
  <si>
    <t>Manutenção, ampliação e melhoria da infraestrutura de TI e da 
rede de comunicação</t>
  </si>
  <si>
    <t>Acompanhamento e transparência na execução das ações constantes no PDTI</t>
  </si>
  <si>
    <t>Solução de gestão educacional para gerenciar matrículas, cursos, turmas, certificados, ementas, professores, materiais, alunos e frequência, emissão de, avaliação de reação/satisfação online.</t>
  </si>
  <si>
    <t>Solução para gestão eletrônica de documentos arquivísticos em conformidade com os critérios do  Conselho Nacional de Arquivologia - CONARQ</t>
  </si>
  <si>
    <t>Criação e publicação de normativo estabelecendo as competências das unidades de TI</t>
  </si>
  <si>
    <t>Cumprimento do art. 287, da Lei 8730/93 e a Resolução 134/94 TCE-GO, gerenciar informações e permitir o descarte dos papeis decorrido o prazo de armazenamento</t>
  </si>
  <si>
    <t>Desenvolvimento de solução de portal corporativo e ferramentas de colaboração e de socialização</t>
  </si>
  <si>
    <t>Plano de Capacitação</t>
  </si>
  <si>
    <t>Plano de Investimento e Custeio</t>
  </si>
  <si>
    <t>Qtde Área(s) Demandante(s)</t>
  </si>
  <si>
    <t>MONITORAMENTO</t>
  </si>
  <si>
    <t>2016 - 1º TRIM</t>
  </si>
  <si>
    <t>TOTAIS:</t>
  </si>
  <si>
    <t>2016 - 2º TRIM</t>
  </si>
  <si>
    <t>A56.07</t>
  </si>
  <si>
    <t>A24.01</t>
  </si>
  <si>
    <t>A24.02</t>
  </si>
  <si>
    <t>A56.04</t>
  </si>
  <si>
    <t>A43.01</t>
  </si>
  <si>
    <t>A56.02</t>
  </si>
  <si>
    <t>A56.05</t>
  </si>
  <si>
    <t>A60.01</t>
  </si>
  <si>
    <t>A48.03</t>
  </si>
  <si>
    <t>A10.02</t>
  </si>
  <si>
    <t>A35.02</t>
  </si>
  <si>
    <t>A15.02</t>
  </si>
  <si>
    <t>A19.05</t>
  </si>
  <si>
    <t>A21.02</t>
  </si>
  <si>
    <t>A14.01</t>
  </si>
  <si>
    <t>A19.01</t>
  </si>
  <si>
    <t>A06.01</t>
  </si>
  <si>
    <t>A52.01</t>
  </si>
  <si>
    <t>A45.01</t>
  </si>
  <si>
    <t>A21.01</t>
  </si>
  <si>
    <t>A19.03</t>
  </si>
  <si>
    <t>A56.12</t>
  </si>
  <si>
    <t>A13.02</t>
  </si>
  <si>
    <t>A31.01</t>
  </si>
  <si>
    <t>A02.02</t>
  </si>
  <si>
    <t>A01.02</t>
  </si>
  <si>
    <t>A03.01</t>
  </si>
  <si>
    <t>A01.01</t>
  </si>
  <si>
    <t>A23.01</t>
  </si>
  <si>
    <t>A37.01</t>
  </si>
  <si>
    <t>A21.04</t>
  </si>
  <si>
    <t>A36.01</t>
  </si>
  <si>
    <t>A16.02</t>
  </si>
  <si>
    <t>A11.03</t>
  </si>
  <si>
    <t>A41.01</t>
  </si>
  <si>
    <t>A32.01</t>
  </si>
  <si>
    <t>A28.01</t>
  </si>
  <si>
    <t>A13.04</t>
  </si>
  <si>
    <t>A09.01</t>
  </si>
  <si>
    <t>A15.03</t>
  </si>
  <si>
    <t>A40.01</t>
  </si>
  <si>
    <t>A31.02</t>
  </si>
  <si>
    <t>A07.01</t>
  </si>
  <si>
    <t>A01.04</t>
  </si>
  <si>
    <t>A52.02</t>
  </si>
  <si>
    <t>A25.01</t>
  </si>
  <si>
    <t>A04.02</t>
  </si>
  <si>
    <t>A22.02</t>
  </si>
  <si>
    <t>A01.03</t>
  </si>
  <si>
    <t>A34.01</t>
  </si>
  <si>
    <t>A07.02</t>
  </si>
  <si>
    <t>A33.01</t>
  </si>
  <si>
    <t>A05.01</t>
  </si>
  <si>
    <t>A44.01</t>
  </si>
  <si>
    <t>A06.02</t>
  </si>
  <si>
    <t>A47.02</t>
  </si>
  <si>
    <t>A02.01</t>
  </si>
  <si>
    <t>A16.01</t>
  </si>
  <si>
    <t>A26.01</t>
  </si>
  <si>
    <t>A45.02</t>
  </si>
  <si>
    <t>A56.03</t>
  </si>
  <si>
    <t>A56.11</t>
  </si>
  <si>
    <t>A46.01</t>
  </si>
  <si>
    <t>A56.08</t>
  </si>
  <si>
    <t>A04.01</t>
  </si>
  <si>
    <t>A56.06</t>
  </si>
  <si>
    <t>A57.02</t>
  </si>
  <si>
    <t>A19.04</t>
  </si>
  <si>
    <t>A08.03</t>
  </si>
  <si>
    <t>A08.09</t>
  </si>
  <si>
    <t>A11.02</t>
  </si>
  <si>
    <t>A11.01</t>
  </si>
  <si>
    <t>A35.01</t>
  </si>
  <si>
    <t>A08.04</t>
  </si>
  <si>
    <t>A08.10</t>
  </si>
  <si>
    <t>A03.02</t>
  </si>
  <si>
    <t>A15.01</t>
  </si>
  <si>
    <t>A08.01</t>
  </si>
  <si>
    <t>A57.01</t>
  </si>
  <si>
    <t>A09.02</t>
  </si>
  <si>
    <t>A57.04</t>
  </si>
  <si>
    <t>A56.01</t>
  </si>
  <si>
    <t>A57.05</t>
  </si>
  <si>
    <t>A57.07</t>
  </si>
  <si>
    <t>A02.03</t>
  </si>
  <si>
    <t>A10.03</t>
  </si>
  <si>
    <t>A14.03</t>
  </si>
  <si>
    <t>A52.03</t>
  </si>
  <si>
    <t>A50.01</t>
  </si>
  <si>
    <t>A56.09</t>
  </si>
  <si>
    <t>A13.01</t>
  </si>
  <si>
    <t>A22.01</t>
  </si>
  <si>
    <t>A48.02</t>
  </si>
  <si>
    <t>A27.01</t>
  </si>
  <si>
    <t>A56.10</t>
  </si>
  <si>
    <t>A13.03</t>
  </si>
  <si>
    <t>A56.13</t>
  </si>
  <si>
    <t>A45.03</t>
  </si>
  <si>
    <t>A12.02</t>
  </si>
  <si>
    <t>A18.01</t>
  </si>
  <si>
    <t>A12.01</t>
  </si>
  <si>
    <t>A14.02</t>
  </si>
  <si>
    <t>A10.01</t>
  </si>
  <si>
    <t>A59.01</t>
  </si>
  <si>
    <t>A21.03</t>
  </si>
  <si>
    <t>A30.01</t>
  </si>
  <si>
    <t>A19.07</t>
  </si>
  <si>
    <t>A57.03</t>
  </si>
  <si>
    <t>A49.01</t>
  </si>
  <si>
    <t>A48.01</t>
  </si>
  <si>
    <t>A54.01</t>
  </si>
  <si>
    <t>A47.01</t>
  </si>
  <si>
    <t>A29.01</t>
  </si>
  <si>
    <t>A38.01</t>
  </si>
  <si>
    <t>A19.02</t>
  </si>
  <si>
    <t>A19.06</t>
  </si>
  <si>
    <t>Desenvolver a adequação necessária nos sistemas para que conselheiros substitutos relatem processos</t>
  </si>
  <si>
    <t>Desenvolver solução de cruzamento de informações (Viabilizar implantação do PENTAHO)</t>
  </si>
  <si>
    <t>Desenvolver projeto (fase de planejamento) de evolução do sistema TCE-Juris</t>
  </si>
  <si>
    <t>Elaborar metodologia de gestão de demandas e projetos</t>
  </si>
  <si>
    <t>Desenvolver projeto de intercâmbio de informações (Ações de integração com a CGE)</t>
  </si>
  <si>
    <t>EMPENHADO/GASTO</t>
  </si>
  <si>
    <t>CONCLUÍDO %</t>
  </si>
  <si>
    <t>PD 2016-D</t>
  </si>
  <si>
    <t>Em andamento</t>
  </si>
  <si>
    <t>Não Iniciado</t>
  </si>
  <si>
    <t xml:space="preserve">ALINHAMENTO ESTRATÉGICO - OUTROS INSTRUMENTOS DE PLANEJAMENTO </t>
  </si>
  <si>
    <t>ALINHAMENTO ESTRATÉGICO - OBJETIVOS DO PDTI</t>
  </si>
  <si>
    <t>PD-2015 - PLANO DE DIRETRIZES DA PRESIDÊNCIA - 2015</t>
  </si>
  <si>
    <t>ÁREAS DEMANDANTES</t>
  </si>
  <si>
    <t>ALINHAMENTO ESTRATÉGICO - MMD-TC - ATRICON</t>
  </si>
  <si>
    <t>2016 - 3º TRIM</t>
  </si>
  <si>
    <t>2016 - 4º TRIM</t>
  </si>
  <si>
    <t>Desenvolver sistema de modernização no sistema Plenário Digital (Plenário Virtual)</t>
  </si>
  <si>
    <t>Executar projeto de evolução do sistema TCE-Juris (Consulta de Decisões do TCE)</t>
  </si>
  <si>
    <t>Aprimoramento da infraestrutura do datacenter da nova sede</t>
  </si>
  <si>
    <t>ESTIMADO</t>
  </si>
  <si>
    <t>REALIZADO</t>
  </si>
  <si>
    <t>TOTAL DE AÇÕES CONCLUÍDAS</t>
  </si>
  <si>
    <t>CURSO</t>
  </si>
  <si>
    <t>QTDE (VAGAS)</t>
  </si>
  <si>
    <t>REALIZADO (PESSOAS)</t>
  </si>
  <si>
    <t>META:</t>
  </si>
  <si>
    <t>TOAL DE CURSOS REALIZADOS:</t>
  </si>
  <si>
    <t>REALIZAR PELO MENOS 15 CURSOS</t>
  </si>
  <si>
    <t>A26.02</t>
  </si>
  <si>
    <t>A26.03</t>
  </si>
  <si>
    <t>Contratar/Desenvolver com equipe interna  implementação de painéis de controle e relatórios nos universos de dados disponíveis</t>
  </si>
  <si>
    <t>A26.04</t>
  </si>
  <si>
    <t>A26.06</t>
  </si>
  <si>
    <t xml:space="preserve">A31.03 </t>
  </si>
  <si>
    <t xml:space="preserve">Desenvolver agenda de cumprimento de obrigações do jurisdicionado para controle social </t>
  </si>
  <si>
    <t>A31.04</t>
  </si>
  <si>
    <t>Criar portal do Jurisdicionado</t>
  </si>
  <si>
    <t xml:space="preserve">A31.05 </t>
  </si>
  <si>
    <t>Criar portal da Ouvidoria</t>
  </si>
  <si>
    <t>A31.06</t>
  </si>
  <si>
    <t>Desenvolver portal do Controle Interno</t>
  </si>
  <si>
    <t>A56.14</t>
  </si>
  <si>
    <t xml:space="preserve"> Reestruturar a certificação do trânsito em julgado das decisões.</t>
  </si>
  <si>
    <t>A56.15</t>
  </si>
  <si>
    <t>Evolução GNOI</t>
  </si>
  <si>
    <t>A56.16</t>
  </si>
  <si>
    <t>Desenvolver sistemática de quantificação e registro do volume de recursos fiscalizados e dos benefícios das ações de controle externo</t>
  </si>
  <si>
    <t>A60.02</t>
  </si>
  <si>
    <t xml:space="preserve">Conceber aplicativo móvel para efetivo canal de comunicação com a sociedade, disponibilizando informações transparentes da gestão pública </t>
  </si>
  <si>
    <t xml:space="preserve">A60.03 </t>
  </si>
  <si>
    <t>Reformular portal da Transparência</t>
  </si>
  <si>
    <t xml:space="preserve">A61.01 </t>
  </si>
  <si>
    <t>Desenvolver solução para fiscalização e acompanhamento de concursos públicos</t>
  </si>
  <si>
    <t>A62.01</t>
  </si>
  <si>
    <t>NC61</t>
  </si>
  <si>
    <t>Viabilizar a fiscalização e acompanhamento de concursos públicos</t>
  </si>
  <si>
    <t>NC62</t>
  </si>
  <si>
    <t>Atendimento de quesitos da Estratégia Nacional de Combate à Corrupção e à Lavagem de Dinheiro e Cumprimento das determinações da LAI (Lei nº 12.527/2011), e no âmbito estadual, pela Lei nº 18.025/2013 ofertando à sociedade informações e dados sobre a gestão do Tribunal em busca da efetivação da transparência e do direito de acesso à informação</t>
  </si>
  <si>
    <t>Prover solução para análise de contas de gestores e do Governador</t>
  </si>
  <si>
    <t>Viabilizar a análise de dados e o cruzamento de informações.</t>
  </si>
  <si>
    <t>Aprimoramento de serviços para atender quesitos de transparência propostos pela ENCCLA, bem como o cumprimento integral da LAI estadual e federal</t>
  </si>
  <si>
    <t xml:space="preserve">Aprimorar a solução de gestão dos cadastros de pessoa física, jurídica e Estrutura Organizacional do Estado </t>
  </si>
  <si>
    <t xml:space="preserve">Atender a necessidade da SECGERAL:
Implementar solução para Estrutura Organizacional do Estado
</t>
  </si>
  <si>
    <t>A31.07</t>
  </si>
  <si>
    <t>Desenvolver portal da Diretoria de Planejamento</t>
  </si>
  <si>
    <t xml:space="preserve">Auxiliar na gestão da manutenção no sistema de gestão de material e patrimônio - GMAP </t>
  </si>
  <si>
    <t>Auxiliar na gestão novo portal de gestão de pessoas</t>
  </si>
  <si>
    <t>Viabilizar ferramenta para pesquisa de dados no diário oficial.</t>
  </si>
  <si>
    <t>A37.02</t>
  </si>
  <si>
    <t>2016-1</t>
  </si>
  <si>
    <t>2016-2</t>
  </si>
  <si>
    <t>2016-3</t>
  </si>
  <si>
    <t>2016-4</t>
  </si>
  <si>
    <t>2017-1</t>
  </si>
  <si>
    <t>Ação Continuada</t>
  </si>
  <si>
    <t>Atraso (Área de Negócio)</t>
  </si>
  <si>
    <t>Em dia</t>
  </si>
  <si>
    <t>Situação</t>
  </si>
  <si>
    <t>Desenvolver portal de comunicação de irregularidades</t>
  </si>
  <si>
    <t>Revisão 2017-1 - Ação Nova</t>
  </si>
  <si>
    <t>Revisão 2017-1 - Ação revisada</t>
  </si>
  <si>
    <t>PRIORIDADE - PLANO DIRETOR</t>
  </si>
  <si>
    <t>SITUAÇÃO</t>
  </si>
  <si>
    <t>QTDE</t>
  </si>
  <si>
    <t>Prover suporte tecnológico às demandas de tratamento e exibição de vídeos e TV corporativa da ASSCOM</t>
  </si>
  <si>
    <t>Prover suporte para  análise de dados de obras públicas (extraído do GEOOBRAS)</t>
  </si>
  <si>
    <t>Prover suporte para Análise de dados no Sistema INFORMA e construção de trilhas de auditoria úteis para a fiscalização tempestiva e concomitante dos processos licitatórios do Estado de Goiás</t>
  </si>
  <si>
    <t>1-Curto prazo</t>
  </si>
  <si>
    <t>3-Longo prazo</t>
  </si>
  <si>
    <t>2-Médio prazo</t>
  </si>
  <si>
    <t>Prover suporte tecnológico às demandas de novos canais de comunicação, tratamento e exibição de vídeos, TV corporativa</t>
  </si>
  <si>
    <t xml:space="preserve">Implantar novos canais, preferencialmente eletrônicos, de comunicação com o público interno. </t>
  </si>
  <si>
    <t>PRIORIDADE</t>
  </si>
  <si>
    <t>Alinhamento PDs</t>
  </si>
  <si>
    <t>ORDEM DE SERVIÇO Nº 002/SEC-EXTERNO/2017
ANEXO A – 00 – PLANO DIRETOR
AÇÃO 03</t>
  </si>
  <si>
    <t>ORDEM DE SERVIÇO Nº 002/SEC-GERAL/2017
ANEXO A - PLANO DIRETOR
AÇÃO 16</t>
  </si>
  <si>
    <t>ORDEM DE SERVIÇO Nº 002/SEC-GERAL/2017
ANEXO A - PLANO DIRETOR
AÇÃO 4</t>
  </si>
  <si>
    <t>ORDEM DE SERVIÇO Nº 002/SEC-EXTERNO/2017
ANEXO A – 02 – PLANO DIRETOR
AÇÃO 13</t>
  </si>
  <si>
    <t>ORDEM DE SERVIÇO Nº 002/CI/2017
ANEXO A - PLANO DIRETOR
AÇÃO 3</t>
  </si>
  <si>
    <t>ORDEM DE SERVIÇO Nº 001/ASSCOM/2017
ANEXO A - PLANO DIRETOR
AÇÃO 2</t>
  </si>
  <si>
    <t>ORDEM DE SERVIÇO Nº 002/SEC-EXTERNO/2017
ANEXO A – 05 – PLANO DIRETOR
AÇÃO 3</t>
  </si>
  <si>
    <t>ORDEM DE SERVIÇO Nº 001/OUVIDORIA/2017
ANEXO A - PLANO DIRETOR
AÇÃO 1</t>
  </si>
  <si>
    <t>ORDEM DE SERVIÇO Nº 002/SEC-EXTERNO/2017
ANEXO A – 06 – PLANO DIRETOR
AÇÃO 10</t>
  </si>
  <si>
    <t>ORDEM DE SERVIÇO Nº 002/SEC-GERAL/2017
ANEXO A - PLANO DIRETOR
AÇÃO 7</t>
  </si>
  <si>
    <t>ORDEM DE SERVIÇO Nº 002/CI/2017
ANEXO A - PLANO DIRETOR
AÇÃO 6</t>
  </si>
  <si>
    <t>ORDEM DE SERVIÇO Nº 002/SEC-GERAL/2017
ANEXO A - PLANO DIRETOR
AÇÃO 8</t>
  </si>
  <si>
    <t>ORDEM DE SERVIÇO Nº 002/SEC-GERAL/2017
ANEXO A - PLANO DIRETOR
AÇÃO 9</t>
  </si>
  <si>
    <t>ORDEM DE SERVIÇO Nº 002/SEC-GERAL/2017
ANEXO A - PLANO DIRETOR
AÇÃO 1</t>
  </si>
  <si>
    <t>ORDEM DE SERVIÇO Nº 002/SEC-GERAL/2017
ANEXO A - PLANO DIRETOR
AÇÃO 12</t>
  </si>
  <si>
    <t>ORDEM DE SERVIÇO Nº 002/SEC-EXTERNO/2017
ANEXO A– 02 – PLANO DIRETOR
AÇÃO 16</t>
  </si>
  <si>
    <t>ORDEM DE SERVIÇO Nº 001/OUVIDORIA/2017
ANEXO A - PLANO DIRETOR
AÇÃO 7</t>
  </si>
  <si>
    <t>ORDEM DE SERVIÇO Nº 002/SEC-EXTERNO/2017
ANEXO A – 00 – PLANO DIRETOR
AÇÃO 8</t>
  </si>
  <si>
    <t>2017 - 1º TRIM</t>
  </si>
  <si>
    <t>METAS E INDICADORES</t>
  </si>
  <si>
    <t>Prover recursos materiais e tecnológicos de forma a garantir o acesso e a utilização dos sistemas e serviços essenciais, com o maior índice de tolerância a falhas possível.</t>
  </si>
  <si>
    <t>OBJETIVO ESTRATÉGICO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</si>
  <si>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</si>
  <si>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</si>
  <si>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</si>
  <si>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</si>
  <si>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</si>
  <si>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</si>
  <si>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</si>
  <si>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</si>
  <si>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</si>
  <si>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[∑ (cursos realizados)] / [∑ (cursos planejados)]</t>
  </si>
  <si>
    <t>PEI 2.04</t>
  </si>
  <si>
    <t>PEI 4.01</t>
  </si>
  <si>
    <t>Revisão 2017-1 - Ação reiterada</t>
  </si>
  <si>
    <t>Total Geral</t>
  </si>
  <si>
    <t>Colaborador</t>
  </si>
  <si>
    <t>Atividade</t>
  </si>
  <si>
    <t>Amauri da Silva Junior</t>
  </si>
  <si>
    <t>Desenvolvedor</t>
  </si>
  <si>
    <t>Ariel Arthur Santos Silva</t>
  </si>
  <si>
    <t>Analista de Suporte</t>
  </si>
  <si>
    <t>Arlindo Cavalcante Gonçalves</t>
  </si>
  <si>
    <t>Gerente de Projetos</t>
  </si>
  <si>
    <t>Augusto Custodio Mendes</t>
  </si>
  <si>
    <t>Administrador de Banco de Dados (DBA)</t>
  </si>
  <si>
    <t>Carlos Roberto Souza de Araujo</t>
  </si>
  <si>
    <t>Cassio Guilhermy Tavares Souza</t>
  </si>
  <si>
    <t>Analista de Requisitos</t>
  </si>
  <si>
    <t>Ederlan Augusto de Souza</t>
  </si>
  <si>
    <t>Edinaldo de Souza Revoredo Junior</t>
  </si>
  <si>
    <t>Eduardo Oliveira e Silva</t>
  </si>
  <si>
    <t>Francisco Silva Almeida</t>
  </si>
  <si>
    <t>Guilherme Lopes de Morais Filho</t>
  </si>
  <si>
    <t>Igor Vinicius dos Santos</t>
  </si>
  <si>
    <t>Jadson Aires Dorneles</t>
  </si>
  <si>
    <t>Web-Designer</t>
  </si>
  <si>
    <t>Leandro da Silva</t>
  </si>
  <si>
    <t>Estagiário</t>
  </si>
  <si>
    <t>Leonardo Zadorosny</t>
  </si>
  <si>
    <t>Marla Souza Ribeiro Vargas e Aragão</t>
  </si>
  <si>
    <t>Moises Ramos de Oliveira</t>
  </si>
  <si>
    <t>Nahaliel</t>
  </si>
  <si>
    <t>Raniere</t>
  </si>
  <si>
    <t>Vinicius Borges Medeiros</t>
  </si>
  <si>
    <t>Novo Analista BI 1</t>
  </si>
  <si>
    <t>Novo Programador 1</t>
  </si>
  <si>
    <t>TCE - Aelson</t>
  </si>
  <si>
    <t>Analista TCE</t>
  </si>
  <si>
    <t>TCE - Marco Antonio</t>
  </si>
  <si>
    <t>TCE - Rafael</t>
  </si>
  <si>
    <t>TCE-Bruno</t>
  </si>
  <si>
    <t>TCE-Licardino</t>
  </si>
  <si>
    <t>Gerente TCE</t>
  </si>
  <si>
    <t>TCE-Luzia</t>
  </si>
  <si>
    <t>TCE-Mauricio</t>
  </si>
  <si>
    <t>Total</t>
  </si>
  <si>
    <t>Recurso Externo CAST</t>
  </si>
  <si>
    <t>Felipe</t>
  </si>
  <si>
    <t>Rótulos de Linha</t>
  </si>
  <si>
    <t>Contagem de Atividade</t>
  </si>
  <si>
    <t>A22.02-PRJ01-Controle Processual</t>
  </si>
  <si>
    <t>Mês inicial</t>
  </si>
  <si>
    <t>Mês Final</t>
  </si>
  <si>
    <t>A15.03 - PRJ01 - Gestão do processo Eletrônico</t>
  </si>
  <si>
    <t xml:space="preserve">A15.03 - PRJ02 - Gestão Documental </t>
  </si>
  <si>
    <t>A56.01-PRJ02 - Manutenções de Sistemas</t>
  </si>
  <si>
    <t>Ver linha 3</t>
  </si>
  <si>
    <t>Fase de avaliação de ferramenta</t>
  </si>
  <si>
    <t>Manutenções de sistemas paralisadas devido ao projeto de carga do CONTEX</t>
  </si>
  <si>
    <t>Depende da aquisição de ferramenta de BI</t>
  </si>
  <si>
    <t>Sistema INFORMA atende a recepção e ferramenta de BI a análise de dados; Demanda Resolução  e envolvimento da área de negócio</t>
  </si>
  <si>
    <t>Ação ligada ao portal do jurisdicionado</t>
  </si>
  <si>
    <t>depende da área de negócio</t>
  </si>
  <si>
    <t>Equipe externa CAST</t>
  </si>
  <si>
    <t>Quando a Administração deseja implementar esta funcionalidade? O módulo de gestão documental já deve prever este requisito?</t>
  </si>
  <si>
    <t>Previsto realizar convênio com outras escolas de contas. Quando iniciar???? Verificar se isto está contemplado no plano diretor do ILB</t>
  </si>
  <si>
    <t>Levantar os universos de dados que demandam de painéis. Realizar com contratação de serviços de BI. GRAD, Artigo 30, Categorias do Contex e INFORMA</t>
  </si>
  <si>
    <t>Portal do jurisdicionado atende?</t>
  </si>
  <si>
    <t>Ver se esta atividade está no plano diretor do Controle Externo. Demanda regulamentação</t>
  </si>
  <si>
    <t>A diretoria de planejamento já possui um portal. Seria evolução? Já está atendida? Estamso trabalhando em uma estrutura de análise de dados relacionada ao portal SGP. Com isso demanda atendida?</t>
  </si>
  <si>
    <t>Aquisição externa. O apoio poderia entrar na ordem de serviço de infraestrutura, que é uma atividade operacional</t>
  </si>
  <si>
    <t>Projeto de gestão documental????</t>
  </si>
  <si>
    <t>Devemos avaliar se Bizaggi seria interessante. Melhor avaliar ferramentas, pois o próprio sharepoint possui um módulo de workflow que podemos utiliza-lo em nossas necessidades pontuais</t>
  </si>
  <si>
    <t>Estamos propondo utilizar o Contex para atender a esta demanda. Porém temos de evoluir o módulo de webservice para entregar esta demanda</t>
  </si>
  <si>
    <t>Aquisição EXTERNA</t>
  </si>
  <si>
    <t>Ver no plano diretor da Secretaria de controle externo</t>
  </si>
  <si>
    <t>????</t>
  </si>
  <si>
    <t>Implantado e finalizando módulo de relatórios</t>
  </si>
  <si>
    <t>Requisito que será tratado na reestruturação do site institucional</t>
  </si>
  <si>
    <t>atividade da ASS-COM e nosso apoio ocorre por meio da Ordem de Serviço de Manutenção</t>
  </si>
  <si>
    <t>OS Manutenção</t>
  </si>
  <si>
    <t>Requisito tratado nas atividade de comitê do ENCCLA. Porém ainda restarão melhorias a serem realizadas como: Acessibilidade na totalidade do portal, portal de dados abertos com informações recebidas dos jurisdicionados, que poderá ser tratada no portal dos jurisdicionados</t>
  </si>
  <si>
    <t>Contratação serviço BI</t>
  </si>
  <si>
    <t>está nas atividades do ENCCLA?</t>
  </si>
  <si>
    <t>Essa funcionalidade estaria dentro do portal do portal da Ouvidoria e SIC????? Se for será o prazo de comitê do ENCCLA</t>
  </si>
  <si>
    <t>Contratação gerida pela ASS-COM</t>
  </si>
  <si>
    <t>Atividades de Levantamento de Requisitos complexa e deverá ocorrer após consolidar os dados da nova contabilidade junto à área de negócio para melhorar entendimento. Basear-se na planilha atual de apoio a esta atividade na área de negócio. Utilizar a ferramenta de BI para apoiar no desenvolvimento</t>
  </si>
  <si>
    <t xml:space="preserve">A Secretaria de Controle Externo deve apoiar na definição dos requisitos. </t>
  </si>
  <si>
    <t>Requisito tratado nas atividade de comitê do ENCCLA.</t>
  </si>
  <si>
    <t>Esta demanda é muito ligada ao desenvolvimento do processo eletronico que vai agregando melhorias neste processo. O prazo é longo por vai sendo agregada funcionalidade a medida que o processo eletrônico está sendo desenvolvido</t>
  </si>
  <si>
    <t>Depende da implantação do sistema de Gestão Documental</t>
  </si>
  <si>
    <t>Está entrando  no projeto de manutenção, pois o projeto foi entregue. Bruno entregou uma versão e levantou novas demandas.</t>
  </si>
  <si>
    <t>Verificar no plano diretor se há esta demanda e o prazo definido de lá</t>
  </si>
  <si>
    <t>Esta demanda está classificada como sistema, porém é aquisição. Com a diminuição das inspetorias externas deve avaliar a necessidade que ainda resta</t>
  </si>
  <si>
    <t>Equipe</t>
  </si>
  <si>
    <t>Ederlan</t>
  </si>
  <si>
    <t>Marla</t>
  </si>
  <si>
    <t>Ederlan, Moises</t>
  </si>
  <si>
    <t>Vinicius</t>
  </si>
  <si>
    <t>Estagiarios do TCE</t>
  </si>
  <si>
    <t>Moises</t>
  </si>
  <si>
    <t>Jadson</t>
  </si>
  <si>
    <t>Felipe, Carlos e Amauri</t>
  </si>
  <si>
    <t>Equipe Cast Externa</t>
  </si>
  <si>
    <t>Guilherme</t>
  </si>
  <si>
    <t>Cássio</t>
  </si>
  <si>
    <t>Cássio, Ederlan</t>
  </si>
  <si>
    <t>Igor</t>
  </si>
  <si>
    <t>Vinicius, Igor</t>
  </si>
  <si>
    <t>Ederlan, Vinicius</t>
  </si>
  <si>
    <t>Vincius</t>
  </si>
  <si>
    <t xml:space="preserve">Jadson, </t>
  </si>
  <si>
    <t>Requisito relacionado a reestruturação do site institucional do TCE-GO. AS novas funcionalidades de site e portal já estão sendo implementadas com acessibilidade</t>
  </si>
  <si>
    <t>Aquisição do Oracle BPM.</t>
  </si>
  <si>
    <t>Aquisição do Oracle Big Data. Implementar o repositório de documentos do universo de dados documentais do TCE. Jurisprudência, Documentos do GPRO, Legislações, futura gestão documental. O Plano é fazer um módulo dinâmico de estruturação e pesquisa dos documentos</t>
  </si>
  <si>
    <t>ORDEM DE SERVIÇO Nº 002/SEC-EXTERNO/2017
ANEXO A – 00 – PLANO DIRETOR
AÇÃO XX</t>
  </si>
  <si>
    <t>Form. Execução</t>
  </si>
  <si>
    <t>Comitê presidido pela Aud. Dra Heloísa espera entrega em evento da ATRICON</t>
  </si>
  <si>
    <t>G1</t>
  </si>
  <si>
    <t>G2</t>
  </si>
  <si>
    <t>Tipo de ação</t>
  </si>
  <si>
    <t>AQUISIÇÃO</t>
  </si>
  <si>
    <t>CONSULTORIA</t>
  </si>
  <si>
    <t>CONVENIO</t>
  </si>
  <si>
    <t>GESTÃO</t>
  </si>
  <si>
    <t>PROJETO-PORTAL</t>
  </si>
  <si>
    <t>PROJETO-ENCCLA</t>
  </si>
  <si>
    <t>PROJETO-ESTRUTURA ORGANIZACIONAL</t>
  </si>
  <si>
    <t>PROJETO-NOVA CONTABILIDADE</t>
  </si>
  <si>
    <t>PROJETO-MONITORAMENTO DECISÕES</t>
  </si>
  <si>
    <t>PROJETO-JURISPRUDÊNCIA</t>
  </si>
  <si>
    <t>AQUISIÇÃO - EM ANDAMENTO</t>
  </si>
  <si>
    <t>MANUTENÇÃO/EVOLUÇÃO</t>
  </si>
  <si>
    <t>PROJETO-PORTAL JURISDICIONADO</t>
  </si>
  <si>
    <t>PROJETO-APLICATIVO MÓVEL</t>
  </si>
  <si>
    <t>PROJETO-GEDOC</t>
  </si>
  <si>
    <t>PROJETO-PROCESSO ELETRÔNICO</t>
  </si>
  <si>
    <t>PROJETO-ARTIGO30</t>
  </si>
  <si>
    <t>AQUISIÇÃO-SCANNERS</t>
  </si>
  <si>
    <t>PROJETO-DIÁRIAS</t>
  </si>
  <si>
    <t>PROJETO-CONTAS IRREG</t>
  </si>
  <si>
    <t>AÇÃO CONTÍNUA</t>
  </si>
  <si>
    <t>SOLUÇÃO-EXISTENTE (INFORMA)</t>
  </si>
  <si>
    <t>SOLUÇÃO-EXISTENTE (CONTEX)</t>
  </si>
  <si>
    <t>PROJETO-GRAC</t>
  </si>
  <si>
    <t>PROJETO-PLENARIO</t>
  </si>
  <si>
    <t>AQUISIÇÃO - PROJETO BI</t>
  </si>
  <si>
    <t>AQUISIÇÃO-APOIO TÉCNICO DE TI</t>
  </si>
  <si>
    <t>TIPO</t>
  </si>
  <si>
    <t>PROJETO-PROCESSO ELETRÔNICO-MON.</t>
  </si>
  <si>
    <t>G3</t>
  </si>
  <si>
    <t>RE-INCLUÍDO.</t>
  </si>
  <si>
    <t>ORDEM DE SERVIÇO Nº 002/SEC-ADMIN/2017
ANEXO A - PLANO DIRETOR
AÇÃO 2</t>
  </si>
  <si>
    <t>ORDEM DE SERVIÇO Nº 002/SEC-ADMIN/2017
ANEXO A - PLANO DIRETOR
AÇÃO 7</t>
  </si>
  <si>
    <t>ORDEM DE SERVIÇO Nº 002/DIR-PLAN/2017
ANEXO A - PLANO DIRETOR
AÇÃO 5</t>
  </si>
  <si>
    <t>A AÇÃO CORRETÁ É AÇÃO 08 DO ANEXO A – 06 – PLANO DIRETOR
UNIDADE: SECRETARIA DE CONTROLE EXTERNO - GERÊNCIA DE ATOS DE PESSOAL</t>
  </si>
  <si>
    <t>A AÇÃO CORRETÁ É DO PLANO DA OUVIDORIA - AÇÃO 10</t>
  </si>
  <si>
    <t>ESTÁ CORRETA - A SOLUÇÃO DE GED TRATARÁ TODAS AS DEMANDAS DA AÇÃO 8 DA SEC-GERAL: Implantar o Projeto de Gestão Documental .</t>
  </si>
  <si>
    <t>ESTÁ CORRETA - NÃO HÁ NO PLANO DIRETOR DA SEC-GERAL, UMA AÇÃO ESPECÍFICA QUE TRATE DE PROCESSO ELETRÔNICO. CONTUDO A AÇÃO 4 (QUE TRATA DE COMUNICAÇÃO PROCESSUAL) É DE FATO UM DOS ÚLTIMOS MÓDULOS ENTREGUES QUE COMPÕE O PROCESSO ELETRÔNICO.</t>
  </si>
  <si>
    <t>ESTÁ CORRETA - As ações 15 e 16 da SEC-GERAL tratam do gerenciamento de atos normativos. O sistema GNOI (GERENCIAMENTO DE NORMATIVOS INTERNOS) trata exatamente dessas demandas.</t>
  </si>
  <si>
    <t>ESTÁ CORRETA - CONSTA A SEGUINTE REDAÇÃO NA AÇÃO 9: "Implementar o Projeto de Redução de Estoque Processual" - ALÉM DE PAINÉIS DE CONTROLE ESPECÍFICOS PARA TRATAR OS ESTOQUES PROCESSUAIS, O PROJETO SE CONSOLIDA COM AÇÕES DE MONITORAMENTO DA PRODUÇÃO DE DOCUMENTOS E CONTROLE DE PROCESSOS</t>
  </si>
  <si>
    <t>ESTÁ CORRETA - CONSTA A SEGUINTE REDAÇÃO NA AÇÃO 3: "Implementar um canal de comunicação para que os,  servidores informem suspeitas de irregularidades" - EM REUNIÃO, ESCLARECEMOS QUE O CANAL DE COMUNICAÇÃO SERIA UM PORTAL DO CONTROLE INTERNO, NOS MESMOS MOLDES DO PORTAL DA OUVIDORIA</t>
  </si>
  <si>
    <t>NESSE CASO, NÃO HÁ AÇÃO ESPECÍFICA NO PLANO DIRETOR, QUE TRATE SOMENTE DO PORTAL DA TRANSPARÊNCIA, NO ENTANTO, ESTA AÇÃO ESTÁ RELACIONADA ÀS AÇÕES 1 E 3 ( E NÃO 7)</t>
  </si>
  <si>
    <t>A AÇÃO CORRETA É A AÇÃO 11 DO PLANO DA ASSCOM - RELACIONADA AO PRODUTO: TV INDOOR IMPLANTADA</t>
  </si>
  <si>
    <t>TAMBÉM ESTÁ RELACIONADO A AÇÃO 7 DO PLANO DIRETOR DA DA SEC-CEXTERNO (SERV-MONITORAMENTO)</t>
  </si>
  <si>
    <t>ESTA É UMA DAS AÇÕES PREVISTAS PARA EXECUÇÃO COM AQUISIÇÃO - SOLUÇÃO DE BI</t>
  </si>
  <si>
    <t>ESTA É UMA DAS AÇÕES PREVISTAS PARA EXECUÇÃO COM AQUISIÇÃO</t>
  </si>
  <si>
    <t>ESTA É UMA DAS AÇÕES PREVISTAS PARA EXECUÇÃO COM AQUISIÇÃO - SOLUÇÃO DE GED</t>
  </si>
  <si>
    <t>ORDEM DE SERVIÇO Nº 002/SEC-EXTERNO/2017
ANEXO A – 06 – PLANO DIRETOR
AÇÃO 2</t>
  </si>
  <si>
    <t>ESTA É UMA DAS AÇÕES PREVISTAS PARA EXECUÇÃO POR EQUIPE EXTERNA - PASSWORD (DATAS NÃO CONFIRMADAS)</t>
  </si>
  <si>
    <t>ESTA É UMA DAS AÇÕES PREVISTAS PARA EXECUÇÃO POR EQUIPE EXTERNA - CAST (DATAS NÃO CONFIRMADAS)</t>
  </si>
  <si>
    <t>ESTA É UMA DAS AÇÕES PREVISTAS PARA EXECUÇÃO COM AQUISIÇÃO - SOLUÇÃO DE RISCOS</t>
  </si>
  <si>
    <t>ESTE PRAZO NÃO FOI NEGOCIADO (COMITÊ ESPECÍFICO DO TEMA GOSTARIA DE EXECUTAR AINDA ESTE ANO)</t>
  </si>
  <si>
    <t>2017 - 2º TRIM</t>
  </si>
  <si>
    <t>2017-2</t>
  </si>
  <si>
    <t>2017-3</t>
  </si>
  <si>
    <t>Prioridade Revista</t>
  </si>
  <si>
    <t>Atrasada</t>
  </si>
  <si>
    <t>Prover solução para de análise de contas</t>
  </si>
  <si>
    <t>Promover soluções que utilizem dados eletrônicos da Administração Estadual como instrumentos de controle social</t>
  </si>
  <si>
    <t>A26.05</t>
  </si>
  <si>
    <t>Prover solução para gerir a Estrutura Administrativa do estado</t>
  </si>
  <si>
    <t>Prover suporte tecnológico para a ampliação da comunicação corporativa no TCE-GO</t>
  </si>
  <si>
    <t>Soma de %</t>
  </si>
  <si>
    <t>2017 - 3º TRIM</t>
  </si>
  <si>
    <t>Até 2016</t>
  </si>
  <si>
    <t>Até 2017-1</t>
  </si>
  <si>
    <t>Até 2017-2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</si>
</sst>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&quot;OBJ&quot;\ 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.1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.1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sz val="12"/>
      <color theme="0" tint="-0.49998474074526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3"/>
      <color theme="0"/>
      <name val="Arial"/>
      <family val="2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2.1"/>
      <color theme="1" tint="0.499984740745262"/>
      <name val="Arial"/>
      <family val="2"/>
    </font>
    <font>
      <sz val="12.1"/>
      <name val="Arial"/>
      <family val="2"/>
    </font>
    <font>
      <sz val="10"/>
      <color rgb="FF000000"/>
      <name val="Calibri"/>
      <family val="2"/>
      <scheme val="minor"/>
    </font>
    <font>
      <b/>
      <sz val="12.1"/>
      <color theme="1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07376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1C1B7"/>
        <bgColor indexed="64"/>
      </patternFill>
    </fill>
    <fill>
      <patternFill patternType="solid">
        <fgColor rgb="FFFBD10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4659260841701"/>
        <bgColor theme="6" tint="-0.2499465926084170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0" applyNumberFormat="0" applyAlignment="0" applyProtection="0"/>
    <xf numFmtId="0" fontId="19" fillId="9" borderId="11" applyNumberFormat="0" applyAlignment="0" applyProtection="0"/>
    <xf numFmtId="0" fontId="20" fillId="9" borderId="10" applyNumberFormat="0" applyAlignment="0" applyProtection="0"/>
    <xf numFmtId="0" fontId="21" fillId="0" borderId="12" applyNumberFormat="0" applyFill="0" applyAlignment="0" applyProtection="0"/>
    <xf numFmtId="0" fontId="22" fillId="10" borderId="13" applyNumberFormat="0" applyAlignment="0" applyProtection="0"/>
    <xf numFmtId="0" fontId="23" fillId="0" borderId="0" applyNumberFormat="0" applyFill="0" applyBorder="0" applyAlignment="0" applyProtection="0"/>
    <xf numFmtId="0" fontId="1" fillId="11" borderId="14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78">
    <xf numFmtId="0" fontId="0" fillId="0" borderId="0" xfId="0"/>
    <xf numFmtId="0" fontId="4" fillId="0" borderId="0" xfId="0" applyFont="1"/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0" fontId="8" fillId="38" borderId="16" xfId="0" applyFont="1" applyFill="1" applyBorder="1" applyAlignment="1">
      <alignment horizontal="center" vertical="center" wrapText="1"/>
    </xf>
    <xf numFmtId="0" fontId="29" fillId="41" borderId="16" xfId="0" applyFont="1" applyFill="1" applyBorder="1" applyAlignment="1">
      <alignment horizontal="center" vertical="center" wrapText="1"/>
    </xf>
    <xf numFmtId="0" fontId="8" fillId="39" borderId="1" xfId="0" applyFont="1" applyFill="1" applyBorder="1" applyAlignment="1">
      <alignment horizontal="left" vertical="top" wrapText="1"/>
    </xf>
    <xf numFmtId="0" fontId="8" fillId="40" borderId="1" xfId="0" applyFont="1" applyFill="1" applyBorder="1" applyAlignment="1">
      <alignment horizontal="left" vertical="top"/>
    </xf>
    <xf numFmtId="0" fontId="28" fillId="40" borderId="1" xfId="0" applyFont="1" applyFill="1" applyBorder="1" applyAlignment="1">
      <alignment horizontal="left" vertical="top" wrapText="1"/>
    </xf>
    <xf numFmtId="0" fontId="8" fillId="40" borderId="1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top"/>
    </xf>
    <xf numFmtId="0" fontId="30" fillId="43" borderId="1" xfId="0" applyFont="1" applyFill="1" applyBorder="1" applyAlignment="1">
      <alignment horizontal="left" vertical="top" wrapText="1"/>
    </xf>
    <xf numFmtId="0" fontId="2" fillId="43" borderId="1" xfId="0" applyFont="1" applyFill="1" applyBorder="1" applyAlignment="1">
      <alignment horizontal="left" vertical="top" wrapText="1"/>
    </xf>
    <xf numFmtId="0" fontId="28" fillId="43" borderId="1" xfId="0" applyFont="1" applyFill="1" applyBorder="1" applyAlignment="1">
      <alignment horizontal="center" vertical="top"/>
    </xf>
    <xf numFmtId="0" fontId="2" fillId="43" borderId="1" xfId="0" applyFont="1" applyFill="1" applyBorder="1" applyAlignment="1">
      <alignment horizontal="center" vertical="top" wrapText="1"/>
    </xf>
    <xf numFmtId="0" fontId="8" fillId="43" borderId="1" xfId="0" applyFont="1" applyFill="1" applyBorder="1" applyAlignment="1">
      <alignment horizontal="center" vertical="top" wrapText="1"/>
    </xf>
    <xf numFmtId="0" fontId="8" fillId="43" borderId="1" xfId="0" applyFont="1" applyFill="1" applyBorder="1" applyAlignment="1">
      <alignment horizontal="center" vertical="top"/>
    </xf>
    <xf numFmtId="0" fontId="31" fillId="43" borderId="1" xfId="0" applyFont="1" applyFill="1" applyBorder="1" applyAlignment="1">
      <alignment horizontal="left" vertical="top" wrapText="1"/>
    </xf>
    <xf numFmtId="0" fontId="2" fillId="43" borderId="1" xfId="0" applyFont="1" applyFill="1" applyBorder="1" applyAlignment="1">
      <alignment horizontal="left" vertical="top"/>
    </xf>
    <xf numFmtId="0" fontId="8" fillId="42" borderId="1" xfId="0" applyFont="1" applyFill="1" applyBorder="1" applyAlignment="1">
      <alignment horizontal="left" vertical="top"/>
    </xf>
    <xf numFmtId="0" fontId="8" fillId="42" borderId="1" xfId="0" applyFont="1" applyFill="1" applyBorder="1" applyAlignment="1">
      <alignment horizontal="left" vertical="top" wrapText="1"/>
    </xf>
    <xf numFmtId="0" fontId="28" fillId="42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" fillId="38" borderId="16" xfId="0" applyFont="1" applyFill="1" applyBorder="1" applyAlignment="1">
      <alignment horizontal="center" vertical="center" wrapText="1"/>
    </xf>
    <xf numFmtId="0" fontId="28" fillId="37" borderId="6" xfId="0" applyFont="1" applyFill="1" applyBorder="1" applyAlignment="1">
      <alignment horizontal="center" vertical="center" wrapText="1"/>
    </xf>
    <xf numFmtId="0" fontId="8" fillId="37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7" fillId="0" borderId="19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Border="1"/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9" fontId="36" fillId="0" borderId="25" xfId="3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top" wrapText="1"/>
    </xf>
    <xf numFmtId="0" fontId="7" fillId="44" borderId="24" xfId="0" applyFont="1" applyFill="1" applyBorder="1" applyAlignment="1">
      <alignment horizontal="center" vertical="center" wrapText="1"/>
    </xf>
    <xf numFmtId="0" fontId="37" fillId="44" borderId="6" xfId="0" applyFont="1" applyFill="1" applyBorder="1" applyAlignment="1">
      <alignment horizontal="left" vertical="center" wrapText="1"/>
    </xf>
    <xf numFmtId="0" fontId="7" fillId="44" borderId="19" xfId="0" applyFont="1" applyFill="1" applyBorder="1" applyAlignment="1">
      <alignment horizontal="center" vertical="center" wrapText="1"/>
    </xf>
    <xf numFmtId="9" fontId="36" fillId="44" borderId="25" xfId="3" applyFont="1" applyFill="1" applyBorder="1" applyAlignment="1">
      <alignment horizontal="center" vertical="center" wrapText="1"/>
    </xf>
    <xf numFmtId="0" fontId="27" fillId="44" borderId="6" xfId="0" applyFont="1" applyFill="1" applyBorder="1" applyAlignment="1">
      <alignment horizontal="left" vertical="top" wrapText="1"/>
    </xf>
    <xf numFmtId="0" fontId="38" fillId="45" borderId="3" xfId="0" applyFont="1" applyFill="1" applyBorder="1" applyAlignment="1">
      <alignment horizontal="center" vertical="center" textRotation="90" wrapText="1"/>
    </xf>
    <xf numFmtId="0" fontId="7" fillId="45" borderId="24" xfId="0" applyFont="1" applyFill="1" applyBorder="1" applyAlignment="1">
      <alignment horizontal="center" vertical="center" wrapText="1"/>
    </xf>
    <xf numFmtId="0" fontId="37" fillId="45" borderId="6" xfId="0" applyFont="1" applyFill="1" applyBorder="1" applyAlignment="1">
      <alignment horizontal="left" vertical="center" wrapText="1"/>
    </xf>
    <xf numFmtId="0" fontId="7" fillId="45" borderId="19" xfId="0" applyFont="1" applyFill="1" applyBorder="1" applyAlignment="1">
      <alignment horizontal="center" vertical="center" wrapText="1"/>
    </xf>
    <xf numFmtId="9" fontId="36" fillId="45" borderId="25" xfId="3" applyFont="1" applyFill="1" applyBorder="1" applyAlignment="1">
      <alignment horizontal="center" vertical="center" wrapText="1"/>
    </xf>
    <xf numFmtId="0" fontId="27" fillId="45" borderId="6" xfId="0" applyFont="1" applyFill="1" applyBorder="1" applyAlignment="1">
      <alignment horizontal="left" vertical="top" wrapText="1"/>
    </xf>
    <xf numFmtId="0" fontId="7" fillId="46" borderId="24" xfId="0" applyFont="1" applyFill="1" applyBorder="1" applyAlignment="1">
      <alignment horizontal="center" vertical="center" wrapText="1"/>
    </xf>
    <xf numFmtId="0" fontId="37" fillId="46" borderId="6" xfId="0" applyFont="1" applyFill="1" applyBorder="1" applyAlignment="1">
      <alignment horizontal="left" vertical="center" wrapText="1"/>
    </xf>
    <xf numFmtId="0" fontId="7" fillId="46" borderId="19" xfId="0" applyFont="1" applyFill="1" applyBorder="1" applyAlignment="1">
      <alignment horizontal="center" vertical="center" wrapText="1"/>
    </xf>
    <xf numFmtId="9" fontId="36" fillId="46" borderId="25" xfId="3" applyFont="1" applyFill="1" applyBorder="1" applyAlignment="1">
      <alignment horizontal="center" vertical="center" wrapText="1"/>
    </xf>
    <xf numFmtId="0" fontId="27" fillId="46" borderId="6" xfId="0" applyFont="1" applyFill="1" applyBorder="1" applyAlignment="1">
      <alignment horizontal="left" vertical="top" wrapText="1"/>
    </xf>
    <xf numFmtId="0" fontId="7" fillId="47" borderId="24" xfId="0" applyFont="1" applyFill="1" applyBorder="1" applyAlignment="1">
      <alignment horizontal="center" vertical="center" wrapText="1"/>
    </xf>
    <xf numFmtId="0" fontId="37" fillId="47" borderId="6" xfId="0" applyFont="1" applyFill="1" applyBorder="1" applyAlignment="1">
      <alignment horizontal="left" vertical="center" wrapText="1"/>
    </xf>
    <xf numFmtId="0" fontId="7" fillId="47" borderId="19" xfId="0" applyFont="1" applyFill="1" applyBorder="1" applyAlignment="1">
      <alignment horizontal="center" vertical="center" wrapText="1"/>
    </xf>
    <xf numFmtId="9" fontId="36" fillId="47" borderId="25" xfId="3" applyFont="1" applyFill="1" applyBorder="1" applyAlignment="1">
      <alignment horizontal="center" vertical="center" wrapText="1"/>
    </xf>
    <xf numFmtId="0" fontId="27" fillId="47" borderId="6" xfId="0" applyFont="1" applyFill="1" applyBorder="1" applyAlignment="1">
      <alignment horizontal="left" vertical="top" wrapText="1"/>
    </xf>
    <xf numFmtId="0" fontId="7" fillId="44" borderId="23" xfId="0" applyFont="1" applyFill="1" applyBorder="1" applyAlignment="1">
      <alignment horizontal="center" vertical="center" wrapText="1"/>
    </xf>
    <xf numFmtId="0" fontId="37" fillId="44" borderId="19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9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9" fontId="10" fillId="4" borderId="6" xfId="3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/>
    </xf>
    <xf numFmtId="0" fontId="23" fillId="0" borderId="0" xfId="0" applyFont="1"/>
    <xf numFmtId="0" fontId="40" fillId="0" borderId="0" xfId="0" applyFont="1"/>
    <xf numFmtId="0" fontId="42" fillId="2" borderId="3" xfId="0" applyFont="1" applyFill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left"/>
    </xf>
    <xf numFmtId="0" fontId="27" fillId="0" borderId="3" xfId="0" applyFont="1" applyBorder="1"/>
    <xf numFmtId="0" fontId="44" fillId="2" borderId="3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9" fontId="46" fillId="0" borderId="3" xfId="3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1" fontId="27" fillId="0" borderId="0" xfId="0" applyNumberFormat="1" applyFont="1" applyBorder="1" applyAlignment="1">
      <alignment wrapText="1"/>
    </xf>
    <xf numFmtId="2" fontId="27" fillId="0" borderId="0" xfId="0" applyNumberFormat="1" applyFont="1" applyBorder="1" applyAlignment="1">
      <alignment wrapText="1"/>
    </xf>
    <xf numFmtId="0" fontId="47" fillId="43" borderId="0" xfId="0" applyFont="1" applyFill="1" applyBorder="1" applyAlignment="1">
      <alignment vertical="center" wrapText="1"/>
    </xf>
    <xf numFmtId="0" fontId="48" fillId="43" borderId="3" xfId="0" applyFont="1" applyFill="1" applyBorder="1" applyAlignment="1">
      <alignment horizontal="left" vertical="center"/>
    </xf>
    <xf numFmtId="2" fontId="43" fillId="3" borderId="3" xfId="0" applyNumberFormat="1" applyFont="1" applyFill="1" applyBorder="1" applyAlignment="1">
      <alignment horizontal="left"/>
    </xf>
    <xf numFmtId="0" fontId="27" fillId="0" borderId="0" xfId="0" applyFont="1"/>
    <xf numFmtId="0" fontId="27" fillId="0" borderId="0" xfId="0" applyFont="1" applyFill="1"/>
    <xf numFmtId="0" fontId="45" fillId="0" borderId="0" xfId="0" applyFont="1" applyFill="1" applyBorder="1" applyAlignment="1">
      <alignment horizontal="center" vertical="center" wrapText="1"/>
    </xf>
    <xf numFmtId="17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44" fontId="43" fillId="4" borderId="6" xfId="2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1" fontId="46" fillId="0" borderId="6" xfId="1" applyNumberFormat="1" applyFont="1" applyBorder="1" applyAlignment="1">
      <alignment horizontal="center" vertical="center" wrapText="1"/>
    </xf>
    <xf numFmtId="9" fontId="46" fillId="0" borderId="6" xfId="3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 vertical="top" wrapText="1"/>
    </xf>
    <xf numFmtId="0" fontId="43" fillId="4" borderId="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" fontId="46" fillId="4" borderId="6" xfId="0" applyNumberFormat="1" applyFont="1" applyFill="1" applyBorder="1" applyAlignment="1">
      <alignment horizontal="center" vertical="center"/>
    </xf>
    <xf numFmtId="9" fontId="46" fillId="4" borderId="6" xfId="3" applyFont="1" applyFill="1" applyBorder="1" applyAlignment="1">
      <alignment horizontal="center" vertical="center"/>
    </xf>
    <xf numFmtId="0" fontId="27" fillId="0" borderId="0" xfId="0" applyFont="1" applyBorder="1"/>
    <xf numFmtId="2" fontId="27" fillId="0" borderId="0" xfId="0" applyNumberFormat="1" applyFont="1" applyBorder="1"/>
    <xf numFmtId="0" fontId="47" fillId="43" borderId="0" xfId="0" applyFont="1" applyFill="1" applyAlignment="1">
      <alignment vertical="center"/>
    </xf>
    <xf numFmtId="2" fontId="27" fillId="0" borderId="0" xfId="0" applyNumberFormat="1" applyFont="1"/>
    <xf numFmtId="0" fontId="27" fillId="0" borderId="0" xfId="0" applyFont="1" applyAlignment="1">
      <alignment vertical="center"/>
    </xf>
    <xf numFmtId="0" fontId="45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9" fontId="38" fillId="0" borderId="6" xfId="3" applyFont="1" applyBorder="1" applyAlignment="1">
      <alignment horizontal="center" vertical="center" wrapText="1"/>
    </xf>
    <xf numFmtId="0" fontId="47" fillId="0" borderId="0" xfId="0" applyFont="1" applyBorder="1"/>
    <xf numFmtId="0" fontId="47" fillId="0" borderId="3" xfId="0" applyFont="1" applyBorder="1" applyAlignment="1">
      <alignment vertical="top"/>
    </xf>
    <xf numFmtId="0" fontId="47" fillId="0" borderId="3" xfId="0" applyFont="1" applyBorder="1" applyAlignment="1">
      <alignment horizontal="left" vertical="top" wrapText="1"/>
    </xf>
    <xf numFmtId="9" fontId="49" fillId="0" borderId="3" xfId="3" applyFont="1" applyBorder="1" applyAlignment="1">
      <alignment horizontal="center" vertical="top"/>
    </xf>
    <xf numFmtId="0" fontId="47" fillId="0" borderId="3" xfId="0" applyFont="1" applyBorder="1" applyAlignment="1">
      <alignment vertical="top" wrapText="1"/>
    </xf>
    <xf numFmtId="0" fontId="49" fillId="0" borderId="3" xfId="0" applyFont="1" applyBorder="1" applyAlignment="1">
      <alignment horizontal="left" vertical="top" wrapText="1"/>
    </xf>
    <xf numFmtId="9" fontId="47" fillId="0" borderId="3" xfId="0" applyNumberFormat="1" applyFont="1" applyBorder="1" applyAlignment="1">
      <alignment horizontal="center" vertical="top"/>
    </xf>
    <xf numFmtId="0" fontId="47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wrapText="1"/>
    </xf>
    <xf numFmtId="0" fontId="42" fillId="48" borderId="3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left"/>
    </xf>
    <xf numFmtId="0" fontId="42" fillId="2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44" fontId="27" fillId="0" borderId="0" xfId="2" applyFont="1" applyAlignment="1">
      <alignment vertical="top"/>
    </xf>
    <xf numFmtId="9" fontId="49" fillId="0" borderId="6" xfId="3" applyFont="1" applyBorder="1" applyAlignment="1">
      <alignment horizontal="center" vertical="center" wrapText="1"/>
    </xf>
    <xf numFmtId="1" fontId="46" fillId="0" borderId="6" xfId="0" applyNumberFormat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left" vertical="top" wrapText="1"/>
    </xf>
    <xf numFmtId="0" fontId="48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left" vertical="top" wrapText="1"/>
    </xf>
    <xf numFmtId="0" fontId="38" fillId="0" borderId="3" xfId="0" applyFont="1" applyBorder="1" applyAlignment="1">
      <alignment horizontal="center" vertical="top" wrapText="1"/>
    </xf>
    <xf numFmtId="44" fontId="38" fillId="0" borderId="3" xfId="2" applyFont="1" applyBorder="1" applyAlignment="1">
      <alignment horizontal="left" vertical="top" wrapText="1"/>
    </xf>
    <xf numFmtId="44" fontId="49" fillId="0" borderId="3" xfId="2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44" fontId="38" fillId="0" borderId="1" xfId="2" applyFont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44" fontId="38" fillId="0" borderId="1" xfId="2" applyFont="1" applyFill="1" applyBorder="1" applyAlignment="1">
      <alignment horizontal="left" vertical="center" wrapText="1"/>
    </xf>
    <xf numFmtId="0" fontId="43" fillId="4" borderId="4" xfId="0" applyFont="1" applyFill="1" applyBorder="1" applyAlignment="1">
      <alignment vertical="center" wrapText="1"/>
    </xf>
    <xf numFmtId="0" fontId="43" fillId="4" borderId="5" xfId="0" applyFont="1" applyFill="1" applyBorder="1" applyAlignment="1">
      <alignment vertical="center" wrapText="1"/>
    </xf>
    <xf numFmtId="0" fontId="43" fillId="4" borderId="4" xfId="0" applyFont="1" applyFill="1" applyBorder="1" applyAlignment="1">
      <alignment horizontal="right" vertical="center" wrapText="1"/>
    </xf>
    <xf numFmtId="44" fontId="43" fillId="4" borderId="5" xfId="2" applyFont="1" applyFill="1" applyBorder="1" applyAlignment="1">
      <alignment vertical="center" wrapText="1"/>
    </xf>
    <xf numFmtId="0" fontId="27" fillId="4" borderId="2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left" vertical="top" wrapText="1"/>
    </xf>
    <xf numFmtId="9" fontId="46" fillId="0" borderId="3" xfId="3" applyFont="1" applyBorder="1" applyAlignment="1">
      <alignment horizontal="left" vertical="top" wrapText="1"/>
    </xf>
    <xf numFmtId="43" fontId="0" fillId="0" borderId="0" xfId="1" applyFont="1" applyAlignment="1">
      <alignment horizontal="center"/>
    </xf>
    <xf numFmtId="0" fontId="41" fillId="0" borderId="0" xfId="0" applyFont="1"/>
    <xf numFmtId="0" fontId="45" fillId="0" borderId="1" xfId="0" applyFont="1" applyBorder="1" applyAlignment="1">
      <alignment horizontal="left" vertical="top" wrapText="1"/>
    </xf>
    <xf numFmtId="0" fontId="53" fillId="0" borderId="3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top"/>
    </xf>
    <xf numFmtId="0" fontId="45" fillId="0" borderId="3" xfId="0" applyFont="1" applyBorder="1" applyAlignment="1">
      <alignment horizontal="left" vertical="top"/>
    </xf>
    <xf numFmtId="0" fontId="42" fillId="2" borderId="3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 wrapText="1"/>
    </xf>
    <xf numFmtId="0" fontId="42" fillId="2" borderId="1" xfId="0" applyFont="1" applyFill="1" applyBorder="1" applyAlignment="1">
      <alignment horizontal="left" vertical="center"/>
    </xf>
    <xf numFmtId="9" fontId="49" fillId="0" borderId="3" xfId="3" applyFont="1" applyBorder="1" applyAlignment="1">
      <alignment horizontal="left" vertical="top" wrapText="1"/>
    </xf>
    <xf numFmtId="0" fontId="47" fillId="0" borderId="0" xfId="0" applyFont="1" applyBorder="1" applyAlignment="1">
      <alignment horizontal="center" vertical="center"/>
    </xf>
    <xf numFmtId="1" fontId="47" fillId="0" borderId="3" xfId="3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9" fontId="49" fillId="0" borderId="3" xfId="3" applyFont="1" applyBorder="1" applyAlignment="1">
      <alignment horizontal="left" vertical="center" wrapText="1"/>
    </xf>
    <xf numFmtId="9" fontId="49" fillId="4" borderId="3" xfId="3" applyFont="1" applyFill="1" applyBorder="1" applyAlignment="1">
      <alignment horizontal="center" vertical="top"/>
    </xf>
    <xf numFmtId="0" fontId="27" fillId="0" borderId="3" xfId="0" applyFont="1" applyBorder="1" applyAlignment="1">
      <alignment vertical="center"/>
    </xf>
    <xf numFmtId="0" fontId="48" fillId="51" borderId="3" xfId="0" applyFont="1" applyFill="1" applyBorder="1" applyAlignment="1">
      <alignment vertical="center" wrapText="1"/>
    </xf>
    <xf numFmtId="44" fontId="47" fillId="51" borderId="3" xfId="2" applyFont="1" applyFill="1" applyBorder="1" applyAlignment="1">
      <alignment horizontal="center" vertical="center" wrapText="1"/>
    </xf>
    <xf numFmtId="0" fontId="48" fillId="51" borderId="3" xfId="0" applyFont="1" applyFill="1" applyBorder="1" applyAlignment="1">
      <alignment horizontal="center" vertical="center" wrapText="1"/>
    </xf>
    <xf numFmtId="0" fontId="47" fillId="51" borderId="3" xfId="0" applyFont="1" applyFill="1" applyBorder="1" applyAlignment="1">
      <alignment horizontal="left" vertical="top" wrapText="1"/>
    </xf>
    <xf numFmtId="0" fontId="47" fillId="51" borderId="3" xfId="0" applyFont="1" applyFill="1" applyBorder="1" applyAlignment="1">
      <alignment horizontal="left" vertical="center" wrapText="1"/>
    </xf>
    <xf numFmtId="1" fontId="47" fillId="51" borderId="3" xfId="0" applyNumberFormat="1" applyFont="1" applyFill="1" applyBorder="1" applyAlignment="1">
      <alignment horizontal="center" vertical="center" wrapText="1"/>
    </xf>
    <xf numFmtId="17" fontId="47" fillId="51" borderId="3" xfId="0" applyNumberFormat="1" applyFont="1" applyFill="1" applyBorder="1" applyAlignment="1">
      <alignment horizontal="center" vertical="center" wrapText="1"/>
    </xf>
    <xf numFmtId="0" fontId="47" fillId="51" borderId="3" xfId="0" applyFont="1" applyFill="1" applyBorder="1" applyAlignment="1">
      <alignment horizontal="center" vertical="center" wrapText="1"/>
    </xf>
    <xf numFmtId="0" fontId="47" fillId="51" borderId="3" xfId="0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left"/>
    </xf>
    <xf numFmtId="0" fontId="48" fillId="3" borderId="3" xfId="0" applyFont="1" applyFill="1" applyBorder="1" applyAlignment="1">
      <alignment horizontal="left" vertical="center"/>
    </xf>
    <xf numFmtId="0" fontId="47" fillId="0" borderId="6" xfId="0" applyFont="1" applyBorder="1" applyAlignment="1">
      <alignment horizontal="left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 wrapText="1"/>
    </xf>
    <xf numFmtId="0" fontId="47" fillId="0" borderId="0" xfId="0" applyFont="1" applyBorder="1" applyAlignment="1">
      <alignment horizontal="right" vertical="center" wrapText="1"/>
    </xf>
    <xf numFmtId="0" fontId="47" fillId="0" borderId="0" xfId="0" applyFont="1" applyAlignment="1">
      <alignment vertical="center"/>
    </xf>
    <xf numFmtId="17" fontId="47" fillId="49" borderId="3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42" fillId="2" borderId="29" xfId="0" applyFont="1" applyFill="1" applyBorder="1" applyAlignment="1">
      <alignment horizontal="center" vertical="center" wrapText="1"/>
    </xf>
    <xf numFmtId="0" fontId="54" fillId="49" borderId="29" xfId="0" applyFont="1" applyFill="1" applyBorder="1" applyAlignment="1">
      <alignment horizontal="center" vertical="center" wrapText="1"/>
    </xf>
    <xf numFmtId="0" fontId="51" fillId="3" borderId="3" xfId="0" applyFont="1" applyFill="1" applyBorder="1" applyAlignment="1"/>
    <xf numFmtId="0" fontId="47" fillId="0" borderId="3" xfId="0" applyFont="1" applyBorder="1" applyAlignment="1">
      <alignment horizontal="left" vertical="center" wrapText="1"/>
    </xf>
    <xf numFmtId="0" fontId="50" fillId="3" borderId="3" xfId="0" applyFont="1" applyFill="1" applyBorder="1" applyAlignment="1">
      <alignment vertical="center"/>
    </xf>
    <xf numFmtId="0" fontId="43" fillId="3" borderId="3" xfId="0" applyFont="1" applyFill="1" applyBorder="1" applyAlignment="1">
      <alignment horizontal="left" vertical="top"/>
    </xf>
    <xf numFmtId="0" fontId="27" fillId="0" borderId="3" xfId="0" applyFont="1" applyBorder="1" applyAlignment="1">
      <alignment vertical="top"/>
    </xf>
    <xf numFmtId="0" fontId="50" fillId="3" borderId="3" xfId="0" applyFont="1" applyFill="1" applyBorder="1" applyAlignment="1">
      <alignment horizontal="left" vertical="center"/>
    </xf>
    <xf numFmtId="0" fontId="32" fillId="3" borderId="30" xfId="0" applyFont="1" applyFill="1" applyBorder="1" applyAlignment="1">
      <alignment horizontal="left" vertical="top" wrapText="1"/>
    </xf>
    <xf numFmtId="0" fontId="29" fillId="41" borderId="3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53" fillId="0" borderId="30" xfId="0" applyFont="1" applyBorder="1" applyAlignment="1">
      <alignment horizontal="left" vertical="center"/>
    </xf>
    <xf numFmtId="0" fontId="42" fillId="2" borderId="32" xfId="0" applyFont="1" applyFill="1" applyBorder="1" applyAlignment="1">
      <alignment horizontal="left" vertical="center" wrapText="1"/>
    </xf>
    <xf numFmtId="0" fontId="54" fillId="49" borderId="3" xfId="0" applyFont="1" applyFill="1" applyBorder="1" applyAlignment="1">
      <alignment horizontal="center" vertical="center" wrapText="1"/>
    </xf>
    <xf numFmtId="0" fontId="45" fillId="42" borderId="1" xfId="0" applyFont="1" applyFill="1" applyBorder="1" applyAlignment="1">
      <alignment horizontal="center" vertical="center" wrapText="1"/>
    </xf>
    <xf numFmtId="0" fontId="43" fillId="4" borderId="5" xfId="0" applyFont="1" applyFill="1" applyBorder="1" applyAlignment="1">
      <alignment horizontal="center" vertical="center" wrapText="1"/>
    </xf>
    <xf numFmtId="0" fontId="47" fillId="43" borderId="3" xfId="0" applyFont="1" applyFill="1" applyBorder="1" applyAlignment="1">
      <alignment vertical="center" wrapText="1"/>
    </xf>
    <xf numFmtId="0" fontId="48" fillId="52" borderId="3" xfId="0" applyFont="1" applyFill="1" applyBorder="1" applyAlignment="1">
      <alignment vertical="center" wrapText="1"/>
    </xf>
    <xf numFmtId="0" fontId="27" fillId="52" borderId="3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4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47" fillId="52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7" fillId="52" borderId="3" xfId="0" applyFont="1" applyFill="1" applyBorder="1" applyAlignment="1">
      <alignment horizontal="left" vertical="center" wrapText="1"/>
    </xf>
    <xf numFmtId="1" fontId="27" fillId="52" borderId="3" xfId="0" applyNumberFormat="1" applyFont="1" applyFill="1" applyBorder="1" applyAlignment="1">
      <alignment horizontal="center" vertical="center" wrapText="1"/>
    </xf>
    <xf numFmtId="17" fontId="47" fillId="52" borderId="3" xfId="0" applyNumberFormat="1" applyFont="1" applyFill="1" applyBorder="1" applyAlignment="1">
      <alignment horizontal="center" vertical="center" wrapText="1"/>
    </xf>
    <xf numFmtId="17" fontId="27" fillId="52" borderId="3" xfId="0" applyNumberFormat="1" applyFont="1" applyFill="1" applyBorder="1" applyAlignment="1">
      <alignment horizontal="center" vertical="center" wrapText="1"/>
    </xf>
    <xf numFmtId="44" fontId="47" fillId="52" borderId="3" xfId="2" applyFont="1" applyFill="1" applyBorder="1" applyAlignment="1">
      <alignment horizontal="center" vertical="center" wrapText="1"/>
    </xf>
    <xf numFmtId="0" fontId="47" fillId="52" borderId="3" xfId="0" applyFont="1" applyFill="1" applyBorder="1" applyAlignment="1">
      <alignment horizontal="center" vertical="center" wrapText="1"/>
    </xf>
    <xf numFmtId="0" fontId="46" fillId="52" borderId="3" xfId="0" applyFont="1" applyFill="1" applyBorder="1" applyAlignment="1">
      <alignment horizontal="center" vertical="center"/>
    </xf>
    <xf numFmtId="0" fontId="47" fillId="52" borderId="3" xfId="0" applyFont="1" applyFill="1" applyBorder="1" applyAlignment="1">
      <alignment horizontal="left" vertical="center" wrapText="1"/>
    </xf>
    <xf numFmtId="1" fontId="47" fillId="52" borderId="3" xfId="0" applyNumberFormat="1" applyFont="1" applyFill="1" applyBorder="1" applyAlignment="1">
      <alignment horizontal="center" vertical="center" wrapText="1"/>
    </xf>
    <xf numFmtId="0" fontId="47" fillId="52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wrapText="1"/>
    </xf>
    <xf numFmtId="0" fontId="47" fillId="0" borderId="0" xfId="0" applyFont="1" applyFill="1" applyBorder="1" applyAlignment="1">
      <alignment wrapText="1"/>
    </xf>
    <xf numFmtId="0" fontId="47" fillId="0" borderId="0" xfId="0" applyFont="1" applyAlignment="1">
      <alignment wrapText="1"/>
    </xf>
    <xf numFmtId="0" fontId="48" fillId="3" borderId="3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57" fillId="3" borderId="3" xfId="0" applyFont="1" applyFill="1" applyBorder="1" applyAlignment="1">
      <alignment horizontal="center"/>
    </xf>
    <xf numFmtId="1" fontId="49" fillId="51" borderId="3" xfId="0" applyNumberFormat="1" applyFont="1" applyFill="1" applyBorder="1" applyAlignment="1">
      <alignment horizontal="center" vertical="center" wrapText="1"/>
    </xf>
    <xf numFmtId="1" fontId="49" fillId="52" borderId="3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27" fillId="3" borderId="3" xfId="0" applyFont="1" applyFill="1" applyBorder="1" applyAlignment="1">
      <alignment horizontal="left"/>
    </xf>
    <xf numFmtId="0" fontId="47" fillId="43" borderId="3" xfId="0" applyFont="1" applyFill="1" applyBorder="1" applyAlignment="1">
      <alignment horizontal="left" vertical="center" wrapText="1"/>
    </xf>
    <xf numFmtId="0" fontId="27" fillId="43" borderId="0" xfId="0" applyFont="1" applyFill="1"/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horizontal="left" vertical="center" wrapText="1"/>
    </xf>
    <xf numFmtId="1" fontId="47" fillId="0" borderId="0" xfId="0" applyNumberFormat="1" applyFont="1" applyFill="1" applyBorder="1" applyAlignment="1">
      <alignment horizontal="center" vertical="center" wrapText="1"/>
    </xf>
    <xf numFmtId="1" fontId="49" fillId="0" borderId="0" xfId="0" applyNumberFormat="1" applyFont="1" applyFill="1" applyBorder="1" applyAlignment="1">
      <alignment horizontal="center" vertical="center" wrapText="1"/>
    </xf>
    <xf numFmtId="17" fontId="47" fillId="0" borderId="0" xfId="0" applyNumberFormat="1" applyFont="1" applyFill="1" applyBorder="1" applyAlignment="1">
      <alignment horizontal="center" vertical="center" wrapText="1"/>
    </xf>
    <xf numFmtId="44" fontId="47" fillId="0" borderId="0" xfId="2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9" fontId="43" fillId="4" borderId="0" xfId="3" applyFont="1" applyFill="1" applyBorder="1" applyAlignment="1">
      <alignment horizontal="center" vertical="center"/>
    </xf>
    <xf numFmtId="1" fontId="57" fillId="4" borderId="0" xfId="0" applyNumberFormat="1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 wrapText="1"/>
    </xf>
    <xf numFmtId="0" fontId="55" fillId="41" borderId="3" xfId="0" applyFont="1" applyFill="1" applyBorder="1" applyAlignment="1">
      <alignment horizontal="center" vertical="center" wrapText="1"/>
    </xf>
    <xf numFmtId="0" fontId="55" fillId="41" borderId="3" xfId="0" applyFont="1" applyFill="1" applyBorder="1" applyAlignment="1">
      <alignment horizontal="left" vertical="center" wrapText="1"/>
    </xf>
    <xf numFmtId="44" fontId="55" fillId="41" borderId="3" xfId="2" applyFont="1" applyFill="1" applyBorder="1" applyAlignment="1">
      <alignment horizontal="center" vertical="center" wrapText="1"/>
    </xf>
    <xf numFmtId="17" fontId="47" fillId="0" borderId="3" xfId="0" applyNumberFormat="1" applyFont="1" applyFill="1" applyBorder="1" applyAlignment="1">
      <alignment horizontal="center" vertical="center" wrapText="1"/>
    </xf>
    <xf numFmtId="164" fontId="48" fillId="4" borderId="3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center" vertical="center"/>
    </xf>
    <xf numFmtId="9" fontId="47" fillId="0" borderId="6" xfId="3" applyFont="1" applyBorder="1" applyAlignment="1">
      <alignment horizontal="center" vertical="center" wrapText="1"/>
    </xf>
    <xf numFmtId="44" fontId="27" fillId="0" borderId="6" xfId="2" applyFont="1" applyBorder="1" applyAlignment="1">
      <alignment horizontal="center" wrapText="1"/>
    </xf>
    <xf numFmtId="2" fontId="49" fillId="0" borderId="0" xfId="0" applyNumberFormat="1" applyFont="1" applyBorder="1" applyAlignment="1">
      <alignment wrapText="1"/>
    </xf>
    <xf numFmtId="2" fontId="49" fillId="0" borderId="0" xfId="0" applyNumberFormat="1" applyFont="1"/>
    <xf numFmtId="164" fontId="47" fillId="4" borderId="3" xfId="0" applyNumberFormat="1" applyFont="1" applyFill="1" applyBorder="1" applyAlignment="1">
      <alignment horizontal="center" vertical="center"/>
    </xf>
    <xf numFmtId="0" fontId="47" fillId="43" borderId="3" xfId="45" applyFont="1" applyFill="1" applyBorder="1" applyAlignment="1">
      <alignment horizontal="left" vertical="center" wrapText="1"/>
    </xf>
    <xf numFmtId="0" fontId="47" fillId="0" borderId="0" xfId="0" applyFont="1"/>
    <xf numFmtId="1" fontId="47" fillId="0" borderId="0" xfId="0" applyNumberFormat="1" applyFont="1" applyBorder="1" applyAlignment="1">
      <alignment horizontal="center" vertical="center" wrapText="1"/>
    </xf>
    <xf numFmtId="1" fontId="47" fillId="0" borderId="0" xfId="0" applyNumberFormat="1" applyFont="1" applyBorder="1" applyAlignment="1">
      <alignment horizontal="center" vertical="center"/>
    </xf>
    <xf numFmtId="1" fontId="47" fillId="0" borderId="0" xfId="0" applyNumberFormat="1" applyFont="1" applyAlignment="1">
      <alignment horizontal="center" vertical="center"/>
    </xf>
    <xf numFmtId="0" fontId="55" fillId="41" borderId="3" xfId="0" applyFont="1" applyFill="1" applyBorder="1" applyAlignment="1">
      <alignment horizontal="center" vertical="center"/>
    </xf>
    <xf numFmtId="164" fontId="48" fillId="4" borderId="3" xfId="0" applyNumberFormat="1" applyFont="1" applyFill="1" applyBorder="1" applyAlignment="1">
      <alignment horizontal="center" vertical="center"/>
    </xf>
    <xf numFmtId="0" fontId="48" fillId="43" borderId="3" xfId="0" applyFont="1" applyFill="1" applyBorder="1" applyAlignment="1">
      <alignment horizontal="center" vertical="center"/>
    </xf>
    <xf numFmtId="0" fontId="47" fillId="43" borderId="3" xfId="0" applyFont="1" applyFill="1" applyBorder="1" applyAlignment="1">
      <alignment vertical="center"/>
    </xf>
    <xf numFmtId="0" fontId="48" fillId="43" borderId="3" xfId="0" applyFont="1" applyFill="1" applyBorder="1" applyAlignment="1">
      <alignment vertical="center"/>
    </xf>
    <xf numFmtId="0" fontId="47" fillId="43" borderId="3" xfId="0" applyFont="1" applyFill="1" applyBorder="1" applyAlignment="1">
      <alignment horizontal="left" vertical="center"/>
    </xf>
    <xf numFmtId="0" fontId="48" fillId="43" borderId="3" xfId="45" applyFont="1" applyFill="1" applyBorder="1" applyAlignment="1">
      <alignment horizontal="center" vertical="center"/>
    </xf>
    <xf numFmtId="0" fontId="47" fillId="43" borderId="3" xfId="45" applyFont="1" applyFill="1" applyBorder="1" applyAlignment="1">
      <alignment horizontal="left" vertical="center"/>
    </xf>
    <xf numFmtId="0" fontId="48" fillId="43" borderId="3" xfId="45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3" xfId="0" applyFill="1" applyBorder="1" applyAlignment="1">
      <alignment horizontal="left" vertical="center"/>
    </xf>
    <xf numFmtId="0" fontId="48" fillId="43" borderId="3" xfId="45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7" fillId="4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9" fillId="2" borderId="19" xfId="0" applyFont="1" applyFill="1" applyBorder="1" applyAlignment="1">
      <alignment horizontal="center" vertical="center" wrapText="1"/>
    </xf>
    <xf numFmtId="0" fontId="56" fillId="2" borderId="19" xfId="0" applyFont="1" applyFill="1" applyBorder="1" applyAlignment="1">
      <alignment horizontal="center" vertical="center" wrapText="1"/>
    </xf>
    <xf numFmtId="0" fontId="60" fillId="50" borderId="3" xfId="0" applyFont="1" applyFill="1" applyBorder="1" applyAlignment="1">
      <alignment horizontal="center" vertical="center" wrapText="1"/>
    </xf>
    <xf numFmtId="9" fontId="48" fillId="0" borderId="3" xfId="3" applyFont="1" applyBorder="1" applyAlignment="1">
      <alignment horizontal="center" vertical="top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1" fontId="10" fillId="4" borderId="6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left" vertical="top"/>
    </xf>
    <xf numFmtId="0" fontId="42" fillId="48" borderId="18" xfId="0" applyFont="1" applyFill="1" applyBorder="1" applyAlignment="1">
      <alignment vertical="center"/>
    </xf>
    <xf numFmtId="0" fontId="42" fillId="48" borderId="33" xfId="0" applyFont="1" applyFill="1" applyBorder="1" applyAlignment="1">
      <alignment horizontal="right" vertical="center"/>
    </xf>
    <xf numFmtId="9" fontId="47" fillId="0" borderId="3" xfId="3" applyFont="1" applyBorder="1" applyAlignment="1">
      <alignment horizontal="center" vertical="top"/>
    </xf>
    <xf numFmtId="0" fontId="47" fillId="0" borderId="3" xfId="45" applyFont="1" applyBorder="1" applyAlignment="1">
      <alignment horizontal="left" vertical="top" wrapText="1"/>
    </xf>
    <xf numFmtId="0" fontId="43" fillId="0" borderId="3" xfId="45" applyFont="1" applyFill="1" applyBorder="1" applyAlignment="1">
      <alignment horizontal="left" vertical="top" wrapText="1"/>
    </xf>
    <xf numFmtId="0" fontId="27" fillId="0" borderId="3" xfId="45" applyFont="1" applyFill="1" applyBorder="1" applyAlignment="1">
      <alignment horizontal="left" vertical="top" wrapText="1"/>
    </xf>
    <xf numFmtId="0" fontId="48" fillId="0" borderId="3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horizontal="left" vertical="center" wrapText="1"/>
    </xf>
    <xf numFmtId="1" fontId="47" fillId="0" borderId="3" xfId="0" applyNumberFormat="1" applyFont="1" applyFill="1" applyBorder="1" applyAlignment="1">
      <alignment horizontal="center" vertical="center" wrapText="1"/>
    </xf>
    <xf numFmtId="44" fontId="47" fillId="0" borderId="3" xfId="2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left" vertical="center" wrapText="1"/>
    </xf>
    <xf numFmtId="0" fontId="45" fillId="52" borderId="3" xfId="0" applyFont="1" applyFill="1" applyBorder="1" applyAlignment="1">
      <alignment horizontal="center" vertical="center" wrapText="1"/>
    </xf>
    <xf numFmtId="0" fontId="48" fillId="49" borderId="3" xfId="0" applyFont="1" applyFill="1" applyBorder="1" applyAlignment="1">
      <alignment horizontal="center" vertical="center" wrapText="1"/>
    </xf>
    <xf numFmtId="0" fontId="48" fillId="49" borderId="3" xfId="0" applyFont="1" applyFill="1" applyBorder="1" applyAlignment="1">
      <alignment vertical="center" wrapText="1"/>
    </xf>
    <xf numFmtId="0" fontId="47" fillId="49" borderId="3" xfId="0" applyFont="1" applyFill="1" applyBorder="1" applyAlignment="1">
      <alignment horizontal="left" vertical="top" wrapText="1"/>
    </xf>
    <xf numFmtId="0" fontId="47" fillId="49" borderId="3" xfId="0" applyFont="1" applyFill="1" applyBorder="1" applyAlignment="1">
      <alignment horizontal="left" vertical="center" wrapText="1"/>
    </xf>
    <xf numFmtId="1" fontId="47" fillId="49" borderId="3" xfId="0" applyNumberFormat="1" applyFont="1" applyFill="1" applyBorder="1" applyAlignment="1">
      <alignment horizontal="center" vertical="center" wrapText="1"/>
    </xf>
    <xf numFmtId="44" fontId="47" fillId="49" borderId="3" xfId="2" applyFont="1" applyFill="1" applyBorder="1" applyAlignment="1">
      <alignment horizontal="center" vertical="center" wrapText="1"/>
    </xf>
    <xf numFmtId="0" fontId="47" fillId="49" borderId="3" xfId="0" applyFont="1" applyFill="1" applyBorder="1" applyAlignment="1">
      <alignment horizontal="center" vertical="center" wrapText="1"/>
    </xf>
    <xf numFmtId="0" fontId="47" fillId="49" borderId="3" xfId="0" applyFont="1" applyFill="1" applyBorder="1" applyAlignment="1">
      <alignment horizontal="center" vertical="center"/>
    </xf>
    <xf numFmtId="0" fontId="48" fillId="53" borderId="3" xfId="0" applyFont="1" applyFill="1" applyBorder="1" applyAlignment="1">
      <alignment horizontal="center" vertical="center" wrapText="1"/>
    </xf>
    <xf numFmtId="0" fontId="48" fillId="53" borderId="3" xfId="0" applyFont="1" applyFill="1" applyBorder="1" applyAlignment="1">
      <alignment vertical="center" wrapText="1"/>
    </xf>
    <xf numFmtId="0" fontId="47" fillId="53" borderId="3" xfId="0" applyFont="1" applyFill="1" applyBorder="1" applyAlignment="1">
      <alignment horizontal="left" vertical="top" wrapText="1"/>
    </xf>
    <xf numFmtId="0" fontId="47" fillId="53" borderId="3" xfId="0" applyFont="1" applyFill="1" applyBorder="1" applyAlignment="1">
      <alignment horizontal="left" vertical="center" wrapText="1"/>
    </xf>
    <xf numFmtId="1" fontId="47" fillId="53" borderId="3" xfId="0" applyNumberFormat="1" applyFont="1" applyFill="1" applyBorder="1" applyAlignment="1">
      <alignment horizontal="center" vertical="center" wrapText="1"/>
    </xf>
    <xf numFmtId="17" fontId="47" fillId="53" borderId="3" xfId="0" applyNumberFormat="1" applyFont="1" applyFill="1" applyBorder="1" applyAlignment="1">
      <alignment horizontal="center" vertical="center" wrapText="1"/>
    </xf>
    <xf numFmtId="44" fontId="47" fillId="53" borderId="3" xfId="2" applyFont="1" applyFill="1" applyBorder="1" applyAlignment="1">
      <alignment horizontal="center" vertical="center" wrapText="1"/>
    </xf>
    <xf numFmtId="0" fontId="47" fillId="53" borderId="3" xfId="0" applyFont="1" applyFill="1" applyBorder="1" applyAlignment="1">
      <alignment horizontal="center" vertical="center" wrapText="1"/>
    </xf>
    <xf numFmtId="0" fontId="47" fillId="53" borderId="3" xfId="0" applyFont="1" applyFill="1" applyBorder="1" applyAlignment="1">
      <alignment horizontal="center" vertical="center"/>
    </xf>
    <xf numFmtId="17" fontId="48" fillId="5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61" fillId="51" borderId="3" xfId="0" applyFont="1" applyFill="1" applyBorder="1" applyAlignment="1">
      <alignment vertical="center" wrapText="1"/>
    </xf>
    <xf numFmtId="0" fontId="61" fillId="52" borderId="3" xfId="0" applyFont="1" applyFill="1" applyBorder="1" applyAlignment="1">
      <alignment vertical="center" wrapText="1"/>
    </xf>
    <xf numFmtId="0" fontId="61" fillId="0" borderId="3" xfId="0" applyFont="1" applyFill="1" applyBorder="1" applyAlignment="1">
      <alignment vertical="center" wrapText="1"/>
    </xf>
    <xf numFmtId="0" fontId="61" fillId="53" borderId="3" xfId="0" applyFont="1" applyFill="1" applyBorder="1" applyAlignment="1">
      <alignment vertical="center" wrapText="1"/>
    </xf>
    <xf numFmtId="0" fontId="61" fillId="49" borderId="3" xfId="0" applyFont="1" applyFill="1" applyBorder="1" applyAlignment="1">
      <alignment vertical="center" wrapText="1"/>
    </xf>
    <xf numFmtId="1" fontId="61" fillId="0" borderId="6" xfId="1" applyNumberFormat="1" applyFont="1" applyBorder="1" applyAlignment="1">
      <alignment horizontal="center" vertical="center" wrapText="1"/>
    </xf>
    <xf numFmtId="9" fontId="61" fillId="0" borderId="6" xfId="3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9" fontId="43" fillId="43" borderId="6" xfId="3" applyFont="1" applyFill="1" applyBorder="1" applyAlignment="1">
      <alignment horizontal="center" vertical="center" wrapText="1"/>
    </xf>
    <xf numFmtId="0" fontId="57" fillId="4" borderId="0" xfId="0" applyFont="1" applyFill="1" applyBorder="1" applyAlignment="1">
      <alignment horizontal="center" vertical="center"/>
    </xf>
    <xf numFmtId="9" fontId="57" fillId="4" borderId="0" xfId="3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center" vertical="center"/>
    </xf>
    <xf numFmtId="17" fontId="62" fillId="49" borderId="3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54" borderId="3" xfId="0" applyFill="1" applyBorder="1" applyAlignment="1">
      <alignment vertical="center" wrapText="1"/>
    </xf>
    <xf numFmtId="0" fontId="0" fillId="54" borderId="3" xfId="0" applyFill="1" applyBorder="1" applyAlignment="1">
      <alignment vertical="center"/>
    </xf>
    <xf numFmtId="0" fontId="0" fillId="54" borderId="3" xfId="0" applyFill="1" applyBorder="1" applyAlignment="1">
      <alignment wrapText="1"/>
    </xf>
    <xf numFmtId="0" fontId="22" fillId="55" borderId="35" xfId="0" applyFont="1" applyFill="1" applyBorder="1" applyAlignment="1">
      <alignment horizontal="center" vertical="center" shrinkToFit="1"/>
    </xf>
    <xf numFmtId="0" fontId="22" fillId="55" borderId="36" xfId="0" applyFont="1" applyFill="1" applyBorder="1" applyAlignment="1">
      <alignment horizontal="center" vertical="center" shrinkToFit="1"/>
    </xf>
    <xf numFmtId="0" fontId="22" fillId="56" borderId="37" xfId="0" applyFont="1" applyFill="1" applyBorder="1" applyAlignment="1">
      <alignment horizontal="left" vertical="center" shrinkToFit="1"/>
    </xf>
    <xf numFmtId="0" fontId="0" fillId="57" borderId="38" xfId="0" applyFont="1" applyFill="1" applyBorder="1" applyAlignment="1">
      <alignment horizontal="left" vertical="center" shrinkToFit="1"/>
    </xf>
    <xf numFmtId="0" fontId="22" fillId="56" borderId="39" xfId="0" applyFont="1" applyFill="1" applyBorder="1" applyAlignment="1">
      <alignment horizontal="center" vertical="center" shrinkToFit="1"/>
    </xf>
    <xf numFmtId="0" fontId="22" fillId="56" borderId="40" xfId="0" applyFont="1" applyFill="1" applyBorder="1" applyAlignment="1">
      <alignment horizontal="center" vertical="center" shrinkToFit="1"/>
    </xf>
    <xf numFmtId="17" fontId="0" fillId="54" borderId="3" xfId="0" applyNumberFormat="1" applyFill="1" applyBorder="1" applyAlignment="1">
      <alignment vertical="center" wrapText="1"/>
    </xf>
    <xf numFmtId="17" fontId="0" fillId="54" borderId="3" xfId="0" applyNumberFormat="1" applyFill="1" applyBorder="1" applyAlignment="1">
      <alignment vertical="center"/>
    </xf>
    <xf numFmtId="17" fontId="0" fillId="54" borderId="3" xfId="0" applyNumberFormat="1" applyFill="1" applyBorder="1" applyAlignment="1">
      <alignment wrapText="1"/>
    </xf>
    <xf numFmtId="49" fontId="0" fillId="54" borderId="3" xfId="0" applyNumberForma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44" fontId="55" fillId="41" borderId="3" xfId="2" applyFont="1" applyFill="1" applyBorder="1" applyAlignment="1">
      <alignment horizontal="center" vertical="center"/>
    </xf>
    <xf numFmtId="44" fontId="47" fillId="43" borderId="3" xfId="2" applyFont="1" applyFill="1" applyBorder="1" applyAlignment="1">
      <alignment horizontal="left" vertical="center"/>
    </xf>
    <xf numFmtId="44" fontId="0" fillId="0" borderId="0" xfId="2" applyFont="1" applyAlignment="1">
      <alignment vertical="center"/>
    </xf>
    <xf numFmtId="0" fontId="63" fillId="43" borderId="3" xfId="0" applyFont="1" applyFill="1" applyBorder="1" applyAlignment="1">
      <alignment horizontal="center" vertical="center"/>
    </xf>
    <xf numFmtId="17" fontId="0" fillId="54" borderId="3" xfId="0" applyNumberFormat="1" applyFill="1" applyBorder="1" applyAlignment="1">
      <alignment horizontal="center" vertical="center"/>
    </xf>
    <xf numFmtId="17" fontId="0" fillId="54" borderId="3" xfId="0" applyNumberFormat="1" applyFill="1" applyBorder="1" applyAlignment="1">
      <alignment horizontal="center" vertical="center" wrapText="1"/>
    </xf>
    <xf numFmtId="0" fontId="16" fillId="6" borderId="3" xfId="10" applyBorder="1" applyAlignment="1">
      <alignment vertical="center" wrapText="1"/>
    </xf>
    <xf numFmtId="0" fontId="17" fillId="7" borderId="41" xfId="11" applyFont="1" applyBorder="1" applyAlignment="1">
      <alignment vertical="center" wrapText="1"/>
    </xf>
    <xf numFmtId="0" fontId="64" fillId="7" borderId="10" xfId="11" applyFont="1" applyBorder="1" applyAlignment="1">
      <alignment horizontal="left" vertical="center"/>
    </xf>
    <xf numFmtId="0" fontId="64" fillId="7" borderId="10" xfId="11" applyFont="1" applyBorder="1" applyAlignment="1">
      <alignment horizontal="center" vertical="center"/>
    </xf>
    <xf numFmtId="0" fontId="64" fillId="7" borderId="10" xfId="1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52" borderId="33" xfId="0" applyFill="1" applyBorder="1" applyAlignment="1">
      <alignment vertical="center" wrapText="1"/>
    </xf>
    <xf numFmtId="0" fontId="0" fillId="52" borderId="3" xfId="0" applyFill="1" applyBorder="1" applyAlignment="1">
      <alignment horizontal="left" vertical="center"/>
    </xf>
    <xf numFmtId="0" fontId="63" fillId="52" borderId="3" xfId="0" applyFont="1" applyFill="1" applyBorder="1" applyAlignment="1">
      <alignment horizontal="center" vertical="center"/>
    </xf>
    <xf numFmtId="0" fontId="47" fillId="52" borderId="3" xfId="45" applyFont="1" applyFill="1" applyBorder="1" applyAlignment="1">
      <alignment horizontal="left" vertical="center" wrapText="1"/>
    </xf>
    <xf numFmtId="0" fontId="48" fillId="52" borderId="3" xfId="45" applyFont="1" applyFill="1" applyBorder="1" applyAlignment="1">
      <alignment horizontal="center" vertical="center"/>
    </xf>
    <xf numFmtId="0" fontId="47" fillId="52" borderId="3" xfId="0" applyFont="1" applyFill="1" applyBorder="1" applyAlignment="1">
      <alignment vertical="center" wrapText="1"/>
    </xf>
    <xf numFmtId="0" fontId="48" fillId="52" borderId="3" xfId="0" applyFont="1" applyFill="1" applyBorder="1" applyAlignment="1">
      <alignment horizontal="center" vertical="center"/>
    </xf>
    <xf numFmtId="0" fontId="0" fillId="54" borderId="33" xfId="0" applyFill="1" applyBorder="1" applyAlignment="1">
      <alignment vertical="center" wrapText="1"/>
    </xf>
    <xf numFmtId="0" fontId="27" fillId="52" borderId="3" xfId="0" applyFont="1" applyFill="1" applyBorder="1" applyAlignment="1">
      <alignment horizontal="left" vertical="center"/>
    </xf>
    <xf numFmtId="0" fontId="0" fillId="58" borderId="33" xfId="0" applyFill="1" applyBorder="1" applyAlignment="1">
      <alignment vertical="center" wrapText="1"/>
    </xf>
    <xf numFmtId="0" fontId="0" fillId="58" borderId="3" xfId="0" applyFill="1" applyBorder="1" applyAlignment="1">
      <alignment horizontal="left" vertical="center"/>
    </xf>
    <xf numFmtId="0" fontId="63" fillId="58" borderId="3" xfId="0" applyFont="1" applyFill="1" applyBorder="1" applyAlignment="1">
      <alignment horizontal="center" vertical="center"/>
    </xf>
    <xf numFmtId="0" fontId="47" fillId="58" borderId="3" xfId="45" applyFont="1" applyFill="1" applyBorder="1" applyAlignment="1">
      <alignment horizontal="left" vertical="center" wrapText="1"/>
    </xf>
    <xf numFmtId="0" fontId="47" fillId="58" borderId="3" xfId="0" applyFont="1" applyFill="1" applyBorder="1" applyAlignment="1">
      <alignment horizontal="left" vertical="center" wrapText="1"/>
    </xf>
    <xf numFmtId="0" fontId="48" fillId="58" borderId="3" xfId="45" applyFont="1" applyFill="1" applyBorder="1" applyAlignment="1">
      <alignment horizontal="center" vertical="center"/>
    </xf>
    <xf numFmtId="0" fontId="47" fillId="58" borderId="3" xfId="0" applyFont="1" applyFill="1" applyBorder="1" applyAlignment="1">
      <alignment vertical="center" wrapText="1"/>
    </xf>
    <xf numFmtId="0" fontId="48" fillId="58" borderId="3" xfId="0" applyFont="1" applyFill="1" applyBorder="1" applyAlignment="1">
      <alignment horizontal="center" vertical="center"/>
    </xf>
    <xf numFmtId="0" fontId="27" fillId="58" borderId="3" xfId="0" applyFont="1" applyFill="1" applyBorder="1" applyAlignment="1">
      <alignment horizontal="left" vertical="center"/>
    </xf>
    <xf numFmtId="0" fontId="0" fillId="52" borderId="33" xfId="0" applyFill="1" applyBorder="1" applyAlignment="1">
      <alignment wrapText="1"/>
    </xf>
    <xf numFmtId="14" fontId="0" fillId="43" borderId="3" xfId="0" applyNumberFormat="1" applyFont="1" applyFill="1" applyBorder="1" applyAlignment="1">
      <alignment horizontal="center" vertical="center"/>
    </xf>
    <xf numFmtId="0" fontId="26" fillId="28" borderId="3" xfId="37" applyBorder="1" applyAlignment="1">
      <alignment vertical="center" wrapText="1"/>
    </xf>
    <xf numFmtId="0" fontId="15" fillId="5" borderId="3" xfId="9" applyBorder="1" applyAlignment="1">
      <alignment horizontal="left" vertical="center" wrapText="1"/>
    </xf>
    <xf numFmtId="0" fontId="26" fillId="16" borderId="3" xfId="25" applyBorder="1" applyAlignment="1">
      <alignment vertical="center" wrapText="1"/>
    </xf>
    <xf numFmtId="0" fontId="48" fillId="53" borderId="3" xfId="45" applyFont="1" applyFill="1" applyBorder="1" applyAlignment="1">
      <alignment horizontal="center" vertical="center" wrapText="1"/>
    </xf>
    <xf numFmtId="0" fontId="61" fillId="53" borderId="3" xfId="0" applyFont="1" applyFill="1" applyBorder="1" applyAlignment="1">
      <alignment horizontal="left" vertical="center" wrapText="1" indent="1"/>
    </xf>
    <xf numFmtId="0" fontId="48" fillId="53" borderId="3" xfId="45" applyFont="1" applyFill="1" applyBorder="1" applyAlignment="1">
      <alignment horizontal="left" vertical="center" wrapText="1"/>
    </xf>
    <xf numFmtId="0" fontId="47" fillId="53" borderId="3" xfId="45" applyFont="1" applyFill="1" applyBorder="1" applyAlignment="1">
      <alignment horizontal="left" vertical="top" wrapText="1"/>
    </xf>
    <xf numFmtId="0" fontId="47" fillId="53" borderId="3" xfId="45" applyFont="1" applyFill="1" applyBorder="1" applyAlignment="1">
      <alignment horizontal="left" vertical="center" wrapText="1"/>
    </xf>
    <xf numFmtId="0" fontId="47" fillId="53" borderId="3" xfId="45" applyFont="1" applyFill="1" applyBorder="1" applyAlignment="1">
      <alignment horizontal="center" vertical="center" wrapText="1"/>
    </xf>
    <xf numFmtId="0" fontId="48" fillId="0" borderId="3" xfId="45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left" vertical="center" wrapText="1" indent="1"/>
    </xf>
    <xf numFmtId="0" fontId="48" fillId="0" borderId="3" xfId="45" applyFont="1" applyFill="1" applyBorder="1" applyAlignment="1">
      <alignment horizontal="left" vertical="center" wrapText="1"/>
    </xf>
    <xf numFmtId="0" fontId="47" fillId="0" borderId="3" xfId="45" applyFont="1" applyFill="1" applyBorder="1" applyAlignment="1">
      <alignment horizontal="left" vertical="top" wrapText="1"/>
    </xf>
    <xf numFmtId="0" fontId="47" fillId="0" borderId="3" xfId="45" applyFont="1" applyFill="1" applyBorder="1" applyAlignment="1">
      <alignment horizontal="left" vertical="center" wrapText="1"/>
    </xf>
    <xf numFmtId="0" fontId="47" fillId="0" borderId="3" xfId="45" applyFont="1" applyFill="1" applyBorder="1" applyAlignment="1">
      <alignment horizontal="center" vertical="center" wrapText="1"/>
    </xf>
    <xf numFmtId="0" fontId="47" fillId="0" borderId="3" xfId="45" applyFont="1" applyFill="1" applyBorder="1" applyAlignment="1">
      <alignment horizontal="center" vertical="top" wrapText="1"/>
    </xf>
    <xf numFmtId="0" fontId="48" fillId="0" borderId="3" xfId="45" applyFont="1" applyFill="1" applyBorder="1" applyAlignment="1">
      <alignment vertical="center" wrapText="1"/>
    </xf>
    <xf numFmtId="17" fontId="47" fillId="0" borderId="3" xfId="45" applyNumberFormat="1" applyFont="1" applyFill="1" applyBorder="1" applyAlignment="1">
      <alignment horizontal="center" vertical="center" wrapText="1"/>
    </xf>
    <xf numFmtId="164" fontId="47" fillId="0" borderId="3" xfId="45" applyNumberFormat="1" applyFont="1" applyFill="1" applyBorder="1" applyAlignment="1">
      <alignment horizontal="center" vertical="center"/>
    </xf>
    <xf numFmtId="0" fontId="48" fillId="59" borderId="3" xfId="0" applyFont="1" applyFill="1" applyBorder="1" applyAlignment="1">
      <alignment horizontal="center" vertical="center" wrapText="1"/>
    </xf>
    <xf numFmtId="0" fontId="61" fillId="59" borderId="3" xfId="0" applyFont="1" applyFill="1" applyBorder="1" applyAlignment="1">
      <alignment vertical="center" wrapText="1"/>
    </xf>
    <xf numFmtId="0" fontId="48" fillId="59" borderId="3" xfId="0" applyFont="1" applyFill="1" applyBorder="1" applyAlignment="1">
      <alignment vertical="center" wrapText="1"/>
    </xf>
    <xf numFmtId="0" fontId="47" fillId="59" borderId="3" xfId="0" applyFont="1" applyFill="1" applyBorder="1" applyAlignment="1">
      <alignment horizontal="left" vertical="top" wrapText="1"/>
    </xf>
    <xf numFmtId="0" fontId="47" fillId="59" borderId="3" xfId="0" applyFont="1" applyFill="1" applyBorder="1" applyAlignment="1">
      <alignment horizontal="left" vertical="center" wrapText="1"/>
    </xf>
    <xf numFmtId="1" fontId="47" fillId="59" borderId="3" xfId="0" applyNumberFormat="1" applyFont="1" applyFill="1" applyBorder="1" applyAlignment="1">
      <alignment horizontal="center" vertical="center" wrapText="1"/>
    </xf>
    <xf numFmtId="17" fontId="47" fillId="59" borderId="3" xfId="0" applyNumberFormat="1" applyFont="1" applyFill="1" applyBorder="1" applyAlignment="1">
      <alignment horizontal="center" vertical="center" wrapText="1"/>
    </xf>
    <xf numFmtId="44" fontId="47" fillId="59" borderId="3" xfId="2" applyFont="1" applyFill="1" applyBorder="1" applyAlignment="1">
      <alignment horizontal="center" vertical="center" wrapText="1"/>
    </xf>
    <xf numFmtId="0" fontId="47" fillId="59" borderId="3" xfId="0" applyFont="1" applyFill="1" applyBorder="1" applyAlignment="1">
      <alignment horizontal="center" vertical="center" wrapText="1"/>
    </xf>
    <xf numFmtId="0" fontId="47" fillId="59" borderId="3" xfId="0" applyFont="1" applyFill="1" applyBorder="1" applyAlignment="1">
      <alignment horizontal="center" vertical="center"/>
    </xf>
    <xf numFmtId="0" fontId="48" fillId="59" borderId="3" xfId="45" applyFont="1" applyFill="1" applyBorder="1" applyAlignment="1">
      <alignment horizontal="center" vertical="center" wrapText="1"/>
    </xf>
    <xf numFmtId="0" fontId="61" fillId="59" borderId="3" xfId="0" applyFont="1" applyFill="1" applyBorder="1" applyAlignment="1">
      <alignment horizontal="left" vertical="center" wrapText="1" indent="1"/>
    </xf>
    <xf numFmtId="0" fontId="48" fillId="59" borderId="3" xfId="45" applyFont="1" applyFill="1" applyBorder="1" applyAlignment="1">
      <alignment horizontal="left" vertical="center" wrapText="1"/>
    </xf>
    <xf numFmtId="0" fontId="47" fillId="59" borderId="3" xfId="45" applyFont="1" applyFill="1" applyBorder="1" applyAlignment="1">
      <alignment horizontal="left" vertical="center" wrapText="1"/>
    </xf>
    <xf numFmtId="0" fontId="47" fillId="59" borderId="3" xfId="45" applyFont="1" applyFill="1" applyBorder="1" applyAlignment="1">
      <alignment horizontal="center" vertical="center" wrapText="1"/>
    </xf>
    <xf numFmtId="0" fontId="57" fillId="4" borderId="3" xfId="0" applyFont="1" applyFill="1" applyBorder="1" applyAlignment="1">
      <alignment horizontal="center" vertical="center" wrapText="1"/>
    </xf>
    <xf numFmtId="44" fontId="57" fillId="3" borderId="3" xfId="2" applyFont="1" applyFill="1" applyBorder="1" applyAlignment="1">
      <alignment horizontal="left"/>
    </xf>
    <xf numFmtId="44" fontId="49" fillId="51" borderId="3" xfId="2" applyFont="1" applyFill="1" applyBorder="1" applyAlignment="1">
      <alignment horizontal="center" vertical="center" wrapText="1"/>
    </xf>
    <xf numFmtId="44" fontId="49" fillId="52" borderId="3" xfId="2" applyFont="1" applyFill="1" applyBorder="1" applyAlignment="1">
      <alignment horizontal="center" vertical="center" wrapText="1"/>
    </xf>
    <xf numFmtId="44" fontId="49" fillId="49" borderId="3" xfId="2" applyFont="1" applyFill="1" applyBorder="1" applyAlignment="1">
      <alignment horizontal="center" vertical="center" wrapText="1"/>
    </xf>
    <xf numFmtId="44" fontId="49" fillId="53" borderId="3" xfId="2" applyFont="1" applyFill="1" applyBorder="1" applyAlignment="1">
      <alignment horizontal="center" vertical="center" wrapText="1"/>
    </xf>
    <xf numFmtId="44" fontId="49" fillId="59" borderId="3" xfId="2" applyFont="1" applyFill="1" applyBorder="1" applyAlignment="1">
      <alignment horizontal="center" vertical="center" wrapText="1"/>
    </xf>
    <xf numFmtId="44" fontId="49" fillId="0" borderId="3" xfId="2" applyFont="1" applyFill="1" applyBorder="1" applyAlignment="1">
      <alignment horizontal="center" vertical="center" wrapText="1"/>
    </xf>
    <xf numFmtId="44" fontId="49" fillId="0" borderId="0" xfId="2" applyFont="1" applyFill="1" applyBorder="1" applyAlignment="1">
      <alignment horizontal="center" vertical="center" wrapText="1"/>
    </xf>
    <xf numFmtId="44" fontId="49" fillId="0" borderId="0" xfId="2" applyFont="1"/>
    <xf numFmtId="1" fontId="49" fillId="49" borderId="3" xfId="0" applyNumberFormat="1" applyFont="1" applyFill="1" applyBorder="1" applyAlignment="1">
      <alignment horizontal="center" vertical="center" wrapText="1"/>
    </xf>
    <xf numFmtId="1" fontId="49" fillId="53" borderId="3" xfId="0" applyNumberFormat="1" applyFont="1" applyFill="1" applyBorder="1" applyAlignment="1">
      <alignment horizontal="center" vertical="center" wrapText="1"/>
    </xf>
    <xf numFmtId="1" fontId="49" fillId="59" borderId="3" xfId="0" applyNumberFormat="1" applyFont="1" applyFill="1" applyBorder="1" applyAlignment="1">
      <alignment horizontal="center" vertical="center" wrapText="1"/>
    </xf>
    <xf numFmtId="44" fontId="49" fillId="0" borderId="3" xfId="46" applyFont="1" applyFill="1" applyBorder="1" applyAlignment="1">
      <alignment horizontal="center" vertical="center" wrapText="1"/>
    </xf>
    <xf numFmtId="1" fontId="49" fillId="0" borderId="3" xfId="0" applyNumberFormat="1" applyFont="1" applyFill="1" applyBorder="1" applyAlignment="1">
      <alignment horizontal="center" vertical="center" wrapText="1"/>
    </xf>
    <xf numFmtId="0" fontId="49" fillId="0" borderId="3" xfId="45" applyFont="1" applyFill="1" applyBorder="1" applyAlignment="1">
      <alignment horizontal="center" vertical="center" wrapText="1"/>
    </xf>
    <xf numFmtId="2" fontId="48" fillId="3" borderId="3" xfId="0" applyNumberFormat="1" applyFont="1" applyFill="1" applyBorder="1" applyAlignment="1">
      <alignment horizontal="center" vertical="center"/>
    </xf>
    <xf numFmtId="44" fontId="47" fillId="0" borderId="0" xfId="2" applyFont="1" applyBorder="1" applyAlignment="1">
      <alignment horizontal="center" vertical="center" wrapText="1"/>
    </xf>
    <xf numFmtId="2" fontId="47" fillId="0" borderId="0" xfId="0" applyNumberFormat="1" applyFont="1" applyFill="1" applyBorder="1" applyAlignment="1">
      <alignment horizontal="center" vertical="center" wrapText="1"/>
    </xf>
    <xf numFmtId="2" fontId="47" fillId="0" borderId="0" xfId="0" applyNumberFormat="1" applyFont="1" applyBorder="1" applyAlignment="1">
      <alignment horizontal="center" vertical="center" wrapText="1"/>
    </xf>
    <xf numFmtId="2" fontId="47" fillId="0" borderId="0" xfId="0" applyNumberFormat="1" applyFont="1" applyBorder="1" applyAlignment="1">
      <alignment horizontal="center" vertical="center"/>
    </xf>
    <xf numFmtId="2" fontId="47" fillId="0" borderId="0" xfId="0" applyNumberFormat="1" applyFont="1" applyAlignment="1">
      <alignment horizontal="center" vertical="center"/>
    </xf>
    <xf numFmtId="44" fontId="47" fillId="0" borderId="0" xfId="0" applyNumberFormat="1" applyFont="1" applyBorder="1" applyAlignment="1">
      <alignment horizontal="center" vertical="center" wrapText="1"/>
    </xf>
    <xf numFmtId="44" fontId="47" fillId="0" borderId="0" xfId="0" applyNumberFormat="1" applyFont="1" applyAlignment="1">
      <alignment horizontal="center" vertical="center"/>
    </xf>
    <xf numFmtId="44" fontId="57" fillId="4" borderId="3" xfId="2" applyFont="1" applyFill="1" applyBorder="1" applyAlignment="1">
      <alignment horizontal="center" vertical="center"/>
    </xf>
    <xf numFmtId="44" fontId="47" fillId="0" borderId="6" xfId="2" applyFont="1" applyBorder="1" applyAlignment="1">
      <alignment horizontal="center" wrapText="1"/>
    </xf>
    <xf numFmtId="44" fontId="65" fillId="4" borderId="3" xfId="2" applyFont="1" applyFill="1" applyBorder="1" applyAlignment="1">
      <alignment horizontal="center" vertical="center"/>
    </xf>
    <xf numFmtId="44" fontId="65" fillId="4" borderId="0" xfId="2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center" wrapText="1"/>
    </xf>
    <xf numFmtId="9" fontId="0" fillId="0" borderId="0" xfId="0" applyNumberFormat="1"/>
    <xf numFmtId="165" fontId="0" fillId="0" borderId="0" xfId="0" applyNumberFormat="1" applyAlignment="1">
      <alignment horizontal="left"/>
    </xf>
    <xf numFmtId="0" fontId="48" fillId="60" borderId="3" xfId="0" applyFont="1" applyFill="1" applyBorder="1" applyAlignment="1">
      <alignment horizontal="center" vertical="center" wrapText="1"/>
    </xf>
    <xf numFmtId="0" fontId="61" fillId="60" borderId="3" xfId="0" applyFont="1" applyFill="1" applyBorder="1" applyAlignment="1">
      <alignment vertical="center" wrapText="1"/>
    </xf>
    <xf numFmtId="0" fontId="48" fillId="60" borderId="3" xfId="0" applyFont="1" applyFill="1" applyBorder="1" applyAlignment="1">
      <alignment vertical="center" wrapText="1"/>
    </xf>
    <xf numFmtId="0" fontId="47" fillId="60" borderId="3" xfId="0" applyFont="1" applyFill="1" applyBorder="1" applyAlignment="1">
      <alignment vertical="center" wrapText="1"/>
    </xf>
    <xf numFmtId="0" fontId="47" fillId="60" borderId="3" xfId="0" applyFont="1" applyFill="1" applyBorder="1" applyAlignment="1">
      <alignment horizontal="left" vertical="center" wrapText="1"/>
    </xf>
    <xf numFmtId="1" fontId="47" fillId="60" borderId="3" xfId="0" applyNumberFormat="1" applyFont="1" applyFill="1" applyBorder="1" applyAlignment="1">
      <alignment horizontal="center" vertical="center" wrapText="1"/>
    </xf>
    <xf numFmtId="17" fontId="47" fillId="60" borderId="3" xfId="0" applyNumberFormat="1" applyFont="1" applyFill="1" applyBorder="1" applyAlignment="1">
      <alignment horizontal="center" vertical="center" wrapText="1"/>
    </xf>
    <xf numFmtId="1" fontId="49" fillId="60" borderId="3" xfId="0" applyNumberFormat="1" applyFont="1" applyFill="1" applyBorder="1" applyAlignment="1">
      <alignment horizontal="center" vertical="center" wrapText="1"/>
    </xf>
    <xf numFmtId="44" fontId="49" fillId="60" borderId="3" xfId="2" applyFont="1" applyFill="1" applyBorder="1" applyAlignment="1">
      <alignment horizontal="center" vertical="center" wrapText="1"/>
    </xf>
    <xf numFmtId="44" fontId="47" fillId="60" borderId="3" xfId="2" applyFont="1" applyFill="1" applyBorder="1" applyAlignment="1">
      <alignment horizontal="center" vertical="center" wrapText="1"/>
    </xf>
    <xf numFmtId="0" fontId="47" fillId="60" borderId="3" xfId="0" applyFont="1" applyFill="1" applyBorder="1" applyAlignment="1">
      <alignment horizontal="center" vertical="center" wrapText="1"/>
    </xf>
    <xf numFmtId="0" fontId="47" fillId="60" borderId="3" xfId="0" applyFont="1" applyFill="1" applyBorder="1" applyAlignment="1">
      <alignment horizontal="center" vertical="center"/>
    </xf>
    <xf numFmtId="0" fontId="47" fillId="60" borderId="3" xfId="0" applyFont="1" applyFill="1" applyBorder="1" applyAlignment="1">
      <alignment horizontal="left" vertical="top" wrapText="1"/>
    </xf>
    <xf numFmtId="0" fontId="48" fillId="60" borderId="3" xfId="45" applyFont="1" applyFill="1" applyBorder="1" applyAlignment="1">
      <alignment horizontal="center" vertical="center" wrapText="1"/>
    </xf>
    <xf numFmtId="0" fontId="61" fillId="60" borderId="3" xfId="0" applyFont="1" applyFill="1" applyBorder="1" applyAlignment="1">
      <alignment horizontal="left" vertical="center" wrapText="1" indent="1"/>
    </xf>
    <xf numFmtId="0" fontId="48" fillId="60" borderId="3" xfId="45" applyFont="1" applyFill="1" applyBorder="1" applyAlignment="1">
      <alignment horizontal="left" vertical="center" wrapText="1"/>
    </xf>
    <xf numFmtId="0" fontId="47" fillId="60" borderId="3" xfId="45" applyFont="1" applyFill="1" applyBorder="1" applyAlignment="1">
      <alignment horizontal="left" vertical="top" wrapText="1"/>
    </xf>
    <xf numFmtId="0" fontId="47" fillId="60" borderId="3" xfId="45" applyFont="1" applyFill="1" applyBorder="1" applyAlignment="1">
      <alignment horizontal="left" vertical="center" wrapText="1"/>
    </xf>
    <xf numFmtId="0" fontId="47" fillId="60" borderId="3" xfId="45" applyFont="1" applyFill="1" applyBorder="1" applyAlignment="1">
      <alignment horizontal="center" vertical="center" wrapText="1"/>
    </xf>
    <xf numFmtId="0" fontId="48" fillId="61" borderId="3" xfId="0" applyFont="1" applyFill="1" applyBorder="1" applyAlignment="1">
      <alignment horizontal="center" vertical="center" wrapText="1"/>
    </xf>
    <xf numFmtId="0" fontId="61" fillId="61" borderId="3" xfId="0" applyFont="1" applyFill="1" applyBorder="1" applyAlignment="1">
      <alignment vertical="center" wrapText="1"/>
    </xf>
    <xf numFmtId="0" fontId="48" fillId="61" borderId="3" xfId="0" applyFont="1" applyFill="1" applyBorder="1" applyAlignment="1">
      <alignment vertical="center" wrapText="1"/>
    </xf>
    <xf numFmtId="0" fontId="47" fillId="61" borderId="3" xfId="0" applyFont="1" applyFill="1" applyBorder="1" applyAlignment="1">
      <alignment horizontal="left" vertical="top" wrapText="1"/>
    </xf>
    <xf numFmtId="0" fontId="47" fillId="61" borderId="3" xfId="0" applyFont="1" applyFill="1" applyBorder="1" applyAlignment="1">
      <alignment horizontal="left" vertical="center" wrapText="1"/>
    </xf>
    <xf numFmtId="1" fontId="47" fillId="61" borderId="3" xfId="0" applyNumberFormat="1" applyFont="1" applyFill="1" applyBorder="1" applyAlignment="1">
      <alignment horizontal="center" vertical="center" wrapText="1"/>
    </xf>
    <xf numFmtId="1" fontId="49" fillId="61" borderId="3" xfId="0" applyNumberFormat="1" applyFont="1" applyFill="1" applyBorder="1" applyAlignment="1">
      <alignment horizontal="center" vertical="center" wrapText="1"/>
    </xf>
    <xf numFmtId="17" fontId="47" fillId="61" borderId="3" xfId="0" applyNumberFormat="1" applyFont="1" applyFill="1" applyBorder="1" applyAlignment="1">
      <alignment horizontal="center" vertical="center" wrapText="1"/>
    </xf>
    <xf numFmtId="44" fontId="49" fillId="61" borderId="3" xfId="2" applyFont="1" applyFill="1" applyBorder="1" applyAlignment="1">
      <alignment horizontal="center" vertical="center" wrapText="1"/>
    </xf>
    <xf numFmtId="44" fontId="47" fillId="61" borderId="3" xfId="2" applyFont="1" applyFill="1" applyBorder="1" applyAlignment="1">
      <alignment horizontal="center" vertical="center" wrapText="1"/>
    </xf>
    <xf numFmtId="0" fontId="47" fillId="61" borderId="3" xfId="0" applyFont="1" applyFill="1" applyBorder="1" applyAlignment="1">
      <alignment horizontal="center" vertical="center" wrapText="1"/>
    </xf>
    <xf numFmtId="0" fontId="47" fillId="61" borderId="3" xfId="0" applyFont="1" applyFill="1" applyBorder="1" applyAlignment="1">
      <alignment horizontal="center" vertical="center"/>
    </xf>
    <xf numFmtId="0" fontId="48" fillId="52" borderId="3" xfId="0" applyFont="1" applyFill="1" applyBorder="1" applyAlignment="1">
      <alignment horizontal="center" vertical="center" wrapText="1"/>
    </xf>
    <xf numFmtId="0" fontId="61" fillId="52" borderId="3" xfId="0" applyFont="1" applyFill="1" applyBorder="1" applyAlignment="1">
      <alignment horizontal="left" vertical="center" wrapText="1"/>
    </xf>
    <xf numFmtId="0" fontId="27" fillId="52" borderId="3" xfId="0" applyFont="1" applyFill="1" applyBorder="1" applyAlignment="1">
      <alignment horizontal="center" vertical="center" wrapText="1"/>
    </xf>
    <xf numFmtId="0" fontId="45" fillId="62" borderId="3" xfId="0" applyFont="1" applyFill="1" applyBorder="1" applyAlignment="1">
      <alignment horizontal="center" vertical="center" wrapText="1"/>
    </xf>
    <xf numFmtId="0" fontId="61" fillId="62" borderId="3" xfId="0" applyFont="1" applyFill="1" applyBorder="1" applyAlignment="1">
      <alignment vertical="center" wrapText="1"/>
    </xf>
    <xf numFmtId="0" fontId="48" fillId="62" borderId="3" xfId="0" applyFont="1" applyFill="1" applyBorder="1" applyAlignment="1">
      <alignment vertical="center" wrapText="1"/>
    </xf>
    <xf numFmtId="0" fontId="27" fillId="62" borderId="3" xfId="0" applyFont="1" applyFill="1" applyBorder="1" applyAlignment="1">
      <alignment horizontal="left" vertical="top" wrapText="1"/>
    </xf>
    <xf numFmtId="0" fontId="27" fillId="62" borderId="3" xfId="0" applyFont="1" applyFill="1" applyBorder="1" applyAlignment="1">
      <alignment horizontal="left" vertical="center" wrapText="1"/>
    </xf>
    <xf numFmtId="1" fontId="27" fillId="62" borderId="3" xfId="0" applyNumberFormat="1" applyFont="1" applyFill="1" applyBorder="1" applyAlignment="1">
      <alignment horizontal="center" vertical="center" wrapText="1"/>
    </xf>
    <xf numFmtId="1" fontId="49" fillId="62" borderId="3" xfId="0" applyNumberFormat="1" applyFont="1" applyFill="1" applyBorder="1" applyAlignment="1">
      <alignment horizontal="center" vertical="center" wrapText="1"/>
    </xf>
    <xf numFmtId="17" fontId="47" fillId="62" borderId="3" xfId="0" applyNumberFormat="1" applyFont="1" applyFill="1" applyBorder="1" applyAlignment="1">
      <alignment horizontal="center" vertical="center" wrapText="1"/>
    </xf>
    <xf numFmtId="17" fontId="27" fillId="62" borderId="3" xfId="0" applyNumberFormat="1" applyFont="1" applyFill="1" applyBorder="1" applyAlignment="1">
      <alignment horizontal="center" vertical="center" wrapText="1"/>
    </xf>
    <xf numFmtId="1" fontId="47" fillId="62" borderId="3" xfId="0" applyNumberFormat="1" applyFont="1" applyFill="1" applyBorder="1" applyAlignment="1">
      <alignment horizontal="center" vertical="center" wrapText="1"/>
    </xf>
    <xf numFmtId="44" fontId="49" fillId="62" borderId="3" xfId="2" applyFont="1" applyFill="1" applyBorder="1" applyAlignment="1">
      <alignment horizontal="center" vertical="center" wrapText="1"/>
    </xf>
    <xf numFmtId="44" fontId="47" fillId="62" borderId="3" xfId="2" applyFont="1" applyFill="1" applyBorder="1" applyAlignment="1">
      <alignment horizontal="center" vertical="center" wrapText="1"/>
    </xf>
    <xf numFmtId="0" fontId="47" fillId="62" borderId="3" xfId="0" applyFont="1" applyFill="1" applyBorder="1" applyAlignment="1">
      <alignment horizontal="center" vertical="center" wrapText="1"/>
    </xf>
    <xf numFmtId="0" fontId="46" fillId="62" borderId="3" xfId="0" applyFont="1" applyFill="1" applyBorder="1" applyAlignment="1">
      <alignment horizontal="center" vertical="center"/>
    </xf>
    <xf numFmtId="0" fontId="45" fillId="45" borderId="3" xfId="0" applyFont="1" applyFill="1" applyBorder="1" applyAlignment="1">
      <alignment horizontal="center" vertical="center" wrapText="1"/>
    </xf>
    <xf numFmtId="0" fontId="61" fillId="45" borderId="3" xfId="0" applyFont="1" applyFill="1" applyBorder="1" applyAlignment="1">
      <alignment vertical="center" wrapText="1"/>
    </xf>
    <xf numFmtId="0" fontId="48" fillId="45" borderId="3" xfId="0" applyFont="1" applyFill="1" applyBorder="1" applyAlignment="1">
      <alignment vertical="center" wrapText="1"/>
    </xf>
    <xf numFmtId="0" fontId="27" fillId="45" borderId="3" xfId="0" applyFont="1" applyFill="1" applyBorder="1" applyAlignment="1">
      <alignment horizontal="left" vertical="top" wrapText="1"/>
    </xf>
    <xf numFmtId="0" fontId="27" fillId="45" borderId="3" xfId="0" applyFont="1" applyFill="1" applyBorder="1" applyAlignment="1">
      <alignment horizontal="left" vertical="center" wrapText="1"/>
    </xf>
    <xf numFmtId="1" fontId="27" fillId="45" borderId="3" xfId="0" applyNumberFormat="1" applyFont="1" applyFill="1" applyBorder="1" applyAlignment="1">
      <alignment horizontal="center" vertical="center" wrapText="1"/>
    </xf>
    <xf numFmtId="1" fontId="49" fillId="45" borderId="3" xfId="0" applyNumberFormat="1" applyFont="1" applyFill="1" applyBorder="1" applyAlignment="1">
      <alignment horizontal="center" vertical="center" wrapText="1"/>
    </xf>
    <xf numFmtId="17" fontId="47" fillId="45" borderId="3" xfId="0" applyNumberFormat="1" applyFont="1" applyFill="1" applyBorder="1" applyAlignment="1">
      <alignment horizontal="center" vertical="center" wrapText="1"/>
    </xf>
    <xf numFmtId="17" fontId="27" fillId="45" borderId="3" xfId="0" applyNumberFormat="1" applyFont="1" applyFill="1" applyBorder="1" applyAlignment="1">
      <alignment horizontal="center" vertical="center" wrapText="1"/>
    </xf>
    <xf numFmtId="1" fontId="47" fillId="45" borderId="3" xfId="0" applyNumberFormat="1" applyFont="1" applyFill="1" applyBorder="1" applyAlignment="1">
      <alignment horizontal="center" vertical="center" wrapText="1"/>
    </xf>
    <xf numFmtId="44" fontId="49" fillId="45" borderId="3" xfId="2" applyFont="1" applyFill="1" applyBorder="1" applyAlignment="1">
      <alignment horizontal="center" vertical="center" wrapText="1"/>
    </xf>
    <xf numFmtId="44" fontId="47" fillId="45" borderId="3" xfId="2" applyFont="1" applyFill="1" applyBorder="1" applyAlignment="1">
      <alignment horizontal="center" vertical="center" wrapText="1"/>
    </xf>
    <xf numFmtId="0" fontId="47" fillId="45" borderId="3" xfId="0" applyFont="1" applyFill="1" applyBorder="1" applyAlignment="1">
      <alignment horizontal="center" vertical="center" wrapText="1"/>
    </xf>
    <xf numFmtId="0" fontId="46" fillId="45" borderId="3" xfId="0" applyFont="1" applyFill="1" applyBorder="1" applyAlignment="1">
      <alignment horizontal="center" vertical="center"/>
    </xf>
    <xf numFmtId="0" fontId="47" fillId="45" borderId="3" xfId="0" applyFont="1" applyFill="1" applyBorder="1" applyAlignment="1">
      <alignment horizontal="left" vertical="top" wrapText="1"/>
    </xf>
    <xf numFmtId="0" fontId="47" fillId="45" borderId="3" xfId="0" applyFont="1" applyFill="1" applyBorder="1" applyAlignment="1">
      <alignment horizontal="left" vertical="center" wrapText="1"/>
    </xf>
    <xf numFmtId="0" fontId="47" fillId="45" borderId="3" xfId="0" applyFont="1" applyFill="1" applyBorder="1" applyAlignment="1">
      <alignment horizontal="center" vertical="center"/>
    </xf>
    <xf numFmtId="0" fontId="47" fillId="59" borderId="3" xfId="45" applyFont="1" applyFill="1" applyBorder="1" applyAlignment="1">
      <alignment horizontal="center" vertical="top" wrapText="1"/>
    </xf>
    <xf numFmtId="0" fontId="49" fillId="59" borderId="3" xfId="45" applyFont="1" applyFill="1" applyBorder="1" applyAlignment="1">
      <alignment horizontal="center" vertical="center" wrapText="1"/>
    </xf>
    <xf numFmtId="0" fontId="49" fillId="59" borderId="3" xfId="45" applyFont="1" applyFill="1" applyBorder="1" applyAlignment="1">
      <alignment horizontal="left" vertical="top" wrapText="1"/>
    </xf>
    <xf numFmtId="44" fontId="47" fillId="59" borderId="3" xfId="2" applyFont="1" applyFill="1" applyBorder="1" applyAlignment="1">
      <alignment horizontal="left" vertical="center" wrapText="1" indent="1"/>
    </xf>
    <xf numFmtId="0" fontId="48" fillId="59" borderId="3" xfId="0" applyFont="1" applyFill="1" applyBorder="1" applyAlignment="1">
      <alignment horizontal="left" vertical="center" wrapText="1"/>
    </xf>
    <xf numFmtId="0" fontId="47" fillId="59" borderId="3" xfId="0" applyFont="1" applyFill="1" applyBorder="1" applyAlignment="1">
      <alignment horizontal="left" vertical="center" wrapText="1" indent="1"/>
    </xf>
    <xf numFmtId="17" fontId="47" fillId="59" borderId="3" xfId="0" applyNumberFormat="1" applyFont="1" applyFill="1" applyBorder="1" applyAlignment="1">
      <alignment horizontal="left" vertical="center" wrapText="1" indent="1"/>
    </xf>
    <xf numFmtId="44" fontId="49" fillId="59" borderId="3" xfId="2" applyFont="1" applyFill="1" applyBorder="1" applyAlignment="1">
      <alignment horizontal="left" vertical="center" wrapText="1" indent="1"/>
    </xf>
    <xf numFmtId="0" fontId="48" fillId="4" borderId="3" xfId="0" applyFont="1" applyFill="1" applyBorder="1" applyAlignment="1">
      <alignment horizontal="center" vertical="center" wrapText="1"/>
    </xf>
    <xf numFmtId="0" fontId="61" fillId="4" borderId="3" xfId="0" applyFont="1" applyFill="1" applyBorder="1" applyAlignment="1">
      <alignment vertical="center" wrapText="1"/>
    </xf>
    <xf numFmtId="0" fontId="48" fillId="4" borderId="3" xfId="0" applyFont="1" applyFill="1" applyBorder="1" applyAlignment="1">
      <alignment vertical="center" wrapText="1"/>
    </xf>
    <xf numFmtId="0" fontId="47" fillId="4" borderId="3" xfId="0" applyFont="1" applyFill="1" applyBorder="1" applyAlignment="1">
      <alignment horizontal="left" vertical="top" wrapText="1"/>
    </xf>
    <xf numFmtId="0" fontId="47" fillId="4" borderId="3" xfId="0" applyFont="1" applyFill="1" applyBorder="1" applyAlignment="1">
      <alignment horizontal="left" vertical="center" wrapText="1"/>
    </xf>
    <xf numFmtId="1" fontId="47" fillId="4" borderId="3" xfId="0" applyNumberFormat="1" applyFont="1" applyFill="1" applyBorder="1" applyAlignment="1">
      <alignment horizontal="center" vertical="center" wrapText="1"/>
    </xf>
    <xf numFmtId="17" fontId="47" fillId="4" borderId="3" xfId="0" applyNumberFormat="1" applyFont="1" applyFill="1" applyBorder="1" applyAlignment="1">
      <alignment horizontal="center" vertical="center" wrapText="1"/>
    </xf>
    <xf numFmtId="1" fontId="49" fillId="4" borderId="3" xfId="0" applyNumberFormat="1" applyFont="1" applyFill="1" applyBorder="1" applyAlignment="1">
      <alignment horizontal="center" vertical="center" wrapText="1"/>
    </xf>
    <xf numFmtId="44" fontId="49" fillId="4" borderId="3" xfId="2" applyFont="1" applyFill="1" applyBorder="1" applyAlignment="1">
      <alignment horizontal="center" vertical="center" wrapText="1"/>
    </xf>
    <xf numFmtId="44" fontId="47" fillId="4" borderId="3" xfId="2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 wrapText="1"/>
    </xf>
    <xf numFmtId="0" fontId="47" fillId="4" borderId="3" xfId="0" applyFont="1" applyFill="1" applyBorder="1" applyAlignment="1">
      <alignment horizontal="center" vertical="center"/>
    </xf>
    <xf numFmtId="0" fontId="48" fillId="4" borderId="3" xfId="45" applyFont="1" applyFill="1" applyBorder="1" applyAlignment="1">
      <alignment horizontal="center" vertical="center" wrapText="1"/>
    </xf>
    <xf numFmtId="0" fontId="61" fillId="4" borderId="3" xfId="0" applyFont="1" applyFill="1" applyBorder="1" applyAlignment="1">
      <alignment horizontal="left" vertical="center" wrapText="1" indent="1"/>
    </xf>
    <xf numFmtId="0" fontId="48" fillId="4" borderId="3" xfId="45" applyFont="1" applyFill="1" applyBorder="1" applyAlignment="1">
      <alignment horizontal="left" vertical="center" wrapText="1"/>
    </xf>
    <xf numFmtId="0" fontId="47" fillId="4" borderId="3" xfId="45" applyFont="1" applyFill="1" applyBorder="1" applyAlignment="1">
      <alignment horizontal="left" vertical="top" wrapText="1"/>
    </xf>
    <xf numFmtId="0" fontId="47" fillId="4" borderId="3" xfId="45" applyFont="1" applyFill="1" applyBorder="1" applyAlignment="1">
      <alignment horizontal="left" vertical="center" wrapText="1"/>
    </xf>
    <xf numFmtId="0" fontId="47" fillId="4" borderId="3" xfId="45" applyFont="1" applyFill="1" applyBorder="1" applyAlignment="1">
      <alignment horizontal="center" vertical="center" wrapText="1"/>
    </xf>
    <xf numFmtId="0" fontId="61" fillId="4" borderId="3" xfId="0" applyFont="1" applyFill="1" applyBorder="1" applyAlignment="1">
      <alignment horizontal="left" vertical="center" wrapText="1"/>
    </xf>
    <xf numFmtId="0" fontId="47" fillId="4" borderId="3" xfId="0" applyFont="1" applyFill="1" applyBorder="1" applyAlignment="1">
      <alignment vertical="center" wrapText="1"/>
    </xf>
    <xf numFmtId="0" fontId="51" fillId="3" borderId="33" xfId="0" applyFont="1" applyFill="1" applyBorder="1" applyAlignment="1">
      <alignment horizontal="center" vertical="center"/>
    </xf>
    <xf numFmtId="0" fontId="51" fillId="3" borderId="34" xfId="0" applyFont="1" applyFill="1" applyBorder="1" applyAlignment="1">
      <alignment horizontal="center" vertical="center"/>
    </xf>
    <xf numFmtId="0" fontId="51" fillId="3" borderId="18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top" wrapText="1"/>
    </xf>
    <xf numFmtId="0" fontId="27" fillId="44" borderId="3" xfId="0" applyFont="1" applyFill="1" applyBorder="1" applyAlignment="1">
      <alignment horizontal="center" vertical="center" textRotation="90" wrapText="1"/>
    </xf>
    <xf numFmtId="0" fontId="27" fillId="47" borderId="3" xfId="0" applyFont="1" applyFill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/>
    </xf>
    <xf numFmtId="0" fontId="27" fillId="46" borderId="3" xfId="0" applyFont="1" applyFill="1" applyBorder="1" applyAlignment="1">
      <alignment horizontal="center" vertical="center" textRotation="90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left" vertical="center" wrapText="1"/>
    </xf>
    <xf numFmtId="0" fontId="33" fillId="41" borderId="6" xfId="0" applyFont="1" applyFill="1" applyBorder="1" applyAlignment="1">
      <alignment horizontal="center" vertical="center" wrapText="1"/>
    </xf>
    <xf numFmtId="0" fontId="28" fillId="37" borderId="6" xfId="0" applyFont="1" applyFill="1" applyBorder="1" applyAlignment="1">
      <alignment horizontal="center" vertical="center" wrapText="1"/>
    </xf>
    <xf numFmtId="0" fontId="35" fillId="37" borderId="6" xfId="0" applyFont="1" applyFill="1" applyBorder="1" applyAlignment="1">
      <alignment horizontal="left" vertical="center" wrapText="1"/>
    </xf>
    <xf numFmtId="0" fontId="8" fillId="37" borderId="6" xfId="0" applyFont="1" applyFill="1" applyBorder="1" applyAlignment="1">
      <alignment horizontal="center" vertical="center" wrapText="1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Incorreto" xfId="10" builtinId="27" customBuiltin="1"/>
    <cellStyle name="Moeda" xfId="2" builtinId="4"/>
    <cellStyle name="Moeda 2" xfId="46"/>
    <cellStyle name="Neutra" xfId="11" builtinId="28" customBuiltin="1"/>
    <cellStyle name="Normal" xfId="0" builtinId="0"/>
    <cellStyle name="Normal 2" xfId="45"/>
    <cellStyle name="Nota" xfId="18" builtinId="10" customBuiltin="1"/>
    <cellStyle name="Porcentagem" xfId="3" builtinId="5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1" builtinId="3"/>
  </cellStyles>
  <dxfs count="1">
    <dxf>
      <numFmt numFmtId="13" formatCode="0%"/>
    </dxf>
  </dxfs>
  <tableStyles count="0" defaultTableStyle="TableStyleMedium2" defaultPivotStyle="PivotStyleLight16"/>
  <colors>
    <mruColors>
      <color rgb="FF8A0000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Alcance de metas por trimestre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297936106423384E-2"/>
          <c:y val="7.8901204916049211E-2"/>
          <c:w val="0.91559578459066637"/>
          <c:h val="0.7368141297361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'1-Metas e Indicadores'!$H$2</c:f>
              <c:strCache>
                <c:ptCount val="1"/>
                <c:pt idx="0">
                  <c:v>2016 - 1º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Indicadores'!$H$3:$H$15</c:f>
              <c:numCache>
                <c:formatCode>0%</c:formatCode>
                <c:ptCount val="13"/>
                <c:pt idx="0">
                  <c:v>2.7027027027027029E-2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1.6666666666666666E-2</c:v>
                </c:pt>
                <c:pt idx="6">
                  <c:v>0</c:v>
                </c:pt>
                <c:pt idx="7">
                  <c:v>0.04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'1-Metas e Indicadores'!$I$2</c:f>
              <c:strCache>
                <c:ptCount val="1"/>
                <c:pt idx="0">
                  <c:v>2016 - 2º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Indicadores'!$I$3:$I$15</c:f>
              <c:numCache>
                <c:formatCode>0%</c:formatCode>
                <c:ptCount val="13"/>
                <c:pt idx="0">
                  <c:v>0.28169014084507044</c:v>
                </c:pt>
                <c:pt idx="1">
                  <c:v>0.16129032258064516</c:v>
                </c:pt>
                <c:pt idx="2">
                  <c:v>0.45833333333333331</c:v>
                </c:pt>
                <c:pt idx="3">
                  <c:v>0</c:v>
                </c:pt>
                <c:pt idx="4">
                  <c:v>0.68</c:v>
                </c:pt>
                <c:pt idx="5">
                  <c:v>0.11666666666666667</c:v>
                </c:pt>
                <c:pt idx="6">
                  <c:v>0</c:v>
                </c:pt>
                <c:pt idx="7">
                  <c:v>0.16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0.2857142857142857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'1-Metas e Indicadores'!$J$2</c:f>
              <c:strCache>
                <c:ptCount val="1"/>
                <c:pt idx="0">
                  <c:v>2016 - 3º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Indicadores'!$J$3:$J$15</c:f>
              <c:numCache>
                <c:formatCode>0%</c:formatCode>
                <c:ptCount val="13"/>
                <c:pt idx="0">
                  <c:v>0.30985915492957744</c:v>
                </c:pt>
                <c:pt idx="1">
                  <c:v>0.22580645161290322</c:v>
                </c:pt>
                <c:pt idx="2">
                  <c:v>0.5</c:v>
                </c:pt>
                <c:pt idx="3">
                  <c:v>0</c:v>
                </c:pt>
                <c:pt idx="4">
                  <c:v>0.72</c:v>
                </c:pt>
                <c:pt idx="5">
                  <c:v>0.15</c:v>
                </c:pt>
                <c:pt idx="6">
                  <c:v>6.6666666666666666E-2</c:v>
                </c:pt>
                <c:pt idx="7">
                  <c:v>0.2</c:v>
                </c:pt>
                <c:pt idx="8">
                  <c:v>0</c:v>
                </c:pt>
                <c:pt idx="9">
                  <c:v>6.6666666666666666E-2</c:v>
                </c:pt>
                <c:pt idx="10">
                  <c:v>0</c:v>
                </c:pt>
                <c:pt idx="11">
                  <c:v>0.2857142857142857</c:v>
                </c:pt>
                <c:pt idx="12">
                  <c:v>0.16666666666666666</c:v>
                </c:pt>
              </c:numCache>
            </c:numRef>
          </c:val>
        </c:ser>
        <c:ser>
          <c:idx val="3"/>
          <c:order val="3"/>
          <c:tx>
            <c:strRef>
              <c:f>'1-Metas e Indicadores'!$K$2</c:f>
              <c:strCache>
                <c:ptCount val="1"/>
                <c:pt idx="0">
                  <c:v>2016 - 4º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Indicadores'!$K$3:$K$15</c:f>
              <c:numCache>
                <c:formatCode>0%</c:formatCode>
                <c:ptCount val="13"/>
                <c:pt idx="0">
                  <c:v>0.30985915492957744</c:v>
                </c:pt>
                <c:pt idx="1">
                  <c:v>0.32258064516129031</c:v>
                </c:pt>
                <c:pt idx="2">
                  <c:v>0.75</c:v>
                </c:pt>
                <c:pt idx="3">
                  <c:v>0.33333333333333331</c:v>
                </c:pt>
                <c:pt idx="4">
                  <c:v>0.76</c:v>
                </c:pt>
                <c:pt idx="5">
                  <c:v>0.2</c:v>
                </c:pt>
                <c:pt idx="6">
                  <c:v>6.6666666666666666E-2</c:v>
                </c:pt>
                <c:pt idx="7">
                  <c:v>0.2</c:v>
                </c:pt>
                <c:pt idx="8">
                  <c:v>0</c:v>
                </c:pt>
                <c:pt idx="9">
                  <c:v>6.6666666666666666E-2</c:v>
                </c:pt>
                <c:pt idx="10">
                  <c:v>0.33333333333333331</c:v>
                </c:pt>
                <c:pt idx="11">
                  <c:v>0.2857142857142857</c:v>
                </c:pt>
                <c:pt idx="12">
                  <c:v>0.16666666666666666</c:v>
                </c:pt>
              </c:numCache>
            </c:numRef>
          </c:val>
        </c:ser>
        <c:ser>
          <c:idx val="6"/>
          <c:order val="4"/>
          <c:tx>
            <c:strRef>
              <c:f>'1-Metas e Indicadores'!$L$2</c:f>
              <c:strCache>
                <c:ptCount val="1"/>
                <c:pt idx="0">
                  <c:v>2017 - 1º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Indicadores'!$L$3:$L$15</c:f>
              <c:numCache>
                <c:formatCode>0%</c:formatCode>
                <c:ptCount val="13"/>
                <c:pt idx="0">
                  <c:v>0.3048780487804878</c:v>
                </c:pt>
                <c:pt idx="1">
                  <c:v>0.32258064516129031</c:v>
                </c:pt>
                <c:pt idx="2">
                  <c:v>0.79166666666666663</c:v>
                </c:pt>
                <c:pt idx="3">
                  <c:v>0.33333333333333331</c:v>
                </c:pt>
                <c:pt idx="4">
                  <c:v>0.7142857142857143</c:v>
                </c:pt>
                <c:pt idx="5">
                  <c:v>0.19672131147540983</c:v>
                </c:pt>
                <c:pt idx="6">
                  <c:v>6.6666666666666666E-2</c:v>
                </c:pt>
                <c:pt idx="7">
                  <c:v>0.14285714285714285</c:v>
                </c:pt>
                <c:pt idx="8">
                  <c:v>0.2</c:v>
                </c:pt>
                <c:pt idx="9">
                  <c:v>7.1428571428571425E-2</c:v>
                </c:pt>
                <c:pt idx="10">
                  <c:v>0.33333333333333331</c:v>
                </c:pt>
                <c:pt idx="11">
                  <c:v>0.25</c:v>
                </c:pt>
                <c:pt idx="12">
                  <c:v>0.16666666666666666</c:v>
                </c:pt>
              </c:numCache>
            </c:numRef>
          </c:val>
        </c:ser>
        <c:ser>
          <c:idx val="4"/>
          <c:order val="5"/>
          <c:tx>
            <c:strRef>
              <c:f>'1-Metas e Indicadores'!$M$2</c:f>
              <c:strCache>
                <c:ptCount val="1"/>
                <c:pt idx="0">
                  <c:v>2017 - 2º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Indicadores'!$M$3:$M$15</c:f>
              <c:numCache>
                <c:formatCode>0%</c:formatCode>
                <c:ptCount val="13"/>
                <c:pt idx="0">
                  <c:v>0.39759036144578314</c:v>
                </c:pt>
                <c:pt idx="1">
                  <c:v>0.32258064516129031</c:v>
                </c:pt>
                <c:pt idx="2">
                  <c:v>0.79166666666666663</c:v>
                </c:pt>
                <c:pt idx="3">
                  <c:v>0.33333333333333331</c:v>
                </c:pt>
                <c:pt idx="4">
                  <c:v>0.7142857142857143</c:v>
                </c:pt>
                <c:pt idx="5">
                  <c:v>0.24590163934426229</c:v>
                </c:pt>
                <c:pt idx="6">
                  <c:v>6.6666666666666666E-2</c:v>
                </c:pt>
                <c:pt idx="7">
                  <c:v>0.21428571428571427</c:v>
                </c:pt>
                <c:pt idx="8">
                  <c:v>0.2</c:v>
                </c:pt>
                <c:pt idx="9">
                  <c:v>0.14285714285714285</c:v>
                </c:pt>
                <c:pt idx="10">
                  <c:v>0.33333333333333331</c:v>
                </c:pt>
                <c:pt idx="11">
                  <c:v>0.33333333333333331</c:v>
                </c:pt>
                <c:pt idx="12">
                  <c:v>0.16666666666666666</c:v>
                </c:pt>
              </c:numCache>
            </c:numRef>
          </c:val>
        </c:ser>
        <c:ser>
          <c:idx val="7"/>
          <c:order val="6"/>
          <c:tx>
            <c:strRef>
              <c:f>'1-Metas e Indicadores'!$N$2</c:f>
              <c:strCache>
                <c:ptCount val="1"/>
                <c:pt idx="0">
                  <c:v>2017 - 3º TRIM</c:v>
                </c:pt>
              </c:strCache>
            </c:strRef>
          </c:tx>
          <c:invertIfNegative val="0"/>
          <c:cat>
            <c:strRef>
              <c:f>'1-Metas e Indicadores'!$C$3:$C$15</c:f>
              <c:strCache>
                <c:ptCount val="13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M07</c:v>
                </c:pt>
                <c:pt idx="7">
                  <c:v>M08</c:v>
                </c:pt>
                <c:pt idx="8">
                  <c:v>M09</c:v>
                </c:pt>
                <c:pt idx="9">
                  <c:v>M10</c:v>
                </c:pt>
                <c:pt idx="10">
                  <c:v>M11</c:v>
                </c:pt>
                <c:pt idx="11">
                  <c:v>M12</c:v>
                </c:pt>
                <c:pt idx="12">
                  <c:v>M13</c:v>
                </c:pt>
              </c:strCache>
            </c:strRef>
          </c:cat>
          <c:val>
            <c:numRef>
              <c:f>'1-Metas e Indicadores'!$N$3:$N$15</c:f>
              <c:numCache>
                <c:formatCode>0%</c:formatCode>
                <c:ptCount val="13"/>
                <c:pt idx="0">
                  <c:v>0.57831325301204817</c:v>
                </c:pt>
                <c:pt idx="1">
                  <c:v>0.32258064516129031</c:v>
                </c:pt>
                <c:pt idx="2">
                  <c:v>0.875</c:v>
                </c:pt>
                <c:pt idx="3">
                  <c:v>0.33333333333333331</c:v>
                </c:pt>
                <c:pt idx="4">
                  <c:v>0.7142857142857143</c:v>
                </c:pt>
                <c:pt idx="5">
                  <c:v>0.36065573770491804</c:v>
                </c:pt>
                <c:pt idx="6">
                  <c:v>6.6666666666666666E-2</c:v>
                </c:pt>
                <c:pt idx="7">
                  <c:v>0.21428571428571427</c:v>
                </c:pt>
                <c:pt idx="8">
                  <c:v>0.2</c:v>
                </c:pt>
                <c:pt idx="9">
                  <c:v>0.5</c:v>
                </c:pt>
                <c:pt idx="10">
                  <c:v>0.33333333333333331</c:v>
                </c:pt>
                <c:pt idx="11">
                  <c:v>0.58333333333333337</c:v>
                </c:pt>
                <c:pt idx="12">
                  <c:v>0.33333333333333331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94592"/>
        <c:axId val="117296128"/>
      </c:barChart>
      <c:catAx>
        <c:axId val="11729459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crossAx val="117296128"/>
        <c:crosses val="autoZero"/>
        <c:auto val="1"/>
        <c:lblAlgn val="ctr"/>
        <c:lblOffset val="100"/>
        <c:noMultiLvlLbl val="0"/>
      </c:catAx>
      <c:valAx>
        <c:axId val="11729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Percentual de alcance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17294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Resultado consolidado das Ações do PDTI 2017 </a:t>
            </a:r>
            <a:endParaRPr lang="pt-BR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3° Trimestre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400"/>
                      <a:t>28%</a:t>
                    </a:r>
                    <a:endParaRPr lang="en-US" sz="24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400"/>
                      <a:t>23%</a:t>
                    </a:r>
                    <a:endParaRPr lang="en-US" sz="32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'3-Plano de Ações'!$B$190:$B$192</c:f>
              <c:strCache>
                <c:ptCount val="3"/>
                <c:pt idx="0">
                  <c:v>Concluído</c:v>
                </c:pt>
                <c:pt idx="1">
                  <c:v>Em andamento</c:v>
                </c:pt>
                <c:pt idx="2">
                  <c:v>Não Iniciado</c:v>
                </c:pt>
              </c:strCache>
            </c:strRef>
          </c:cat>
          <c:val>
            <c:numRef>
              <c:f>'3-Plano de Ações'!$D$190:$D$192</c:f>
              <c:numCache>
                <c:formatCode>0%</c:formatCode>
                <c:ptCount val="3"/>
                <c:pt idx="0">
                  <c:v>0.58579881656804733</c:v>
                </c:pt>
                <c:pt idx="1">
                  <c:v>0.20118343195266272</c:v>
                </c:pt>
                <c:pt idx="2">
                  <c:v>0.21301775147928995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[PDTI_REVISADO_MONITORADO_3TRIM2017.xlsx]6- ALINHAMENTO ESTRATÉGIA TI!Tabela dinâmica2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</c:pivotFmt>
      <c:pivotFmt>
        <c:idx val="2"/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'6- ALINHAMENTO ESTRATÉGIA TI'!$C$116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'6- ALINHAMENTO ESTRATÉGIA TI'!$B$117:$B$127</c:f>
              <c:strCache>
                <c:ptCount val="10"/>
                <c:pt idx="0">
                  <c:v>OBJ 10</c:v>
                </c:pt>
                <c:pt idx="1">
                  <c:v>OBJ 09</c:v>
                </c:pt>
                <c:pt idx="2">
                  <c:v>OBJ 08</c:v>
                </c:pt>
                <c:pt idx="3">
                  <c:v>OBJ 07</c:v>
                </c:pt>
                <c:pt idx="4">
                  <c:v>OBJ 06</c:v>
                </c:pt>
                <c:pt idx="5">
                  <c:v>OBJ 05</c:v>
                </c:pt>
                <c:pt idx="6">
                  <c:v>OBJ 04</c:v>
                </c:pt>
                <c:pt idx="7">
                  <c:v>OBJ 03</c:v>
                </c:pt>
                <c:pt idx="8">
                  <c:v>OBJ 02</c:v>
                </c:pt>
                <c:pt idx="9">
                  <c:v>OBJ 01</c:v>
                </c:pt>
              </c:strCache>
            </c:strRef>
          </c:cat>
          <c:val>
            <c:numRef>
              <c:f>'6- ALINHAMENTO ESTRATÉGIA TI'!$C$117:$C$127</c:f>
              <c:numCache>
                <c:formatCode>0%</c:formatCode>
                <c:ptCount val="10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  <c:pt idx="3">
                  <c:v>0.16666666666666666</c:v>
                </c:pt>
                <c:pt idx="4">
                  <c:v>0.33333333333333331</c:v>
                </c:pt>
                <c:pt idx="5">
                  <c:v>0.33333333333333331</c:v>
                </c:pt>
                <c:pt idx="6">
                  <c:v>0.14285714285714285</c:v>
                </c:pt>
                <c:pt idx="7">
                  <c:v>0.2</c:v>
                </c:pt>
                <c:pt idx="8">
                  <c:v>0.21428571428571427</c:v>
                </c:pt>
                <c:pt idx="9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20211712"/>
        <c:axId val="120217600"/>
      </c:barChart>
      <c:catAx>
        <c:axId val="120211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120217600"/>
        <c:crosses val="autoZero"/>
        <c:auto val="1"/>
        <c:lblAlgn val="ctr"/>
        <c:lblOffset val="100"/>
        <c:noMultiLvlLbl val="0"/>
      </c:catAx>
      <c:valAx>
        <c:axId val="12021760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2021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'REVISÃO 2017-1 - PRIORIZAÇÃO'!$T$1</c:f>
              <c:strCache>
                <c:ptCount val="1"/>
                <c:pt idx="0">
                  <c:v>G2</c:v>
                </c:pt>
              </c:strCache>
            </c:strRef>
          </c:tx>
          <c:spPr>
            <a:noFill/>
          </c:spPr>
          <c:invertIfNegative val="0"/>
          <c:cat>
            <c:multiLvlStrRef>
              <c:f>'REVISÃO 2017-1 - PRIORIZAÇÃO'!$S$2:$S$95</c:f>
            </c:multiLvlStrRef>
          </c:cat>
          <c:val>
            <c:numRef>
              <c:f>'REVISÃO 2017-1 - PRIORIZAÇÃO'!$T$2:$T$95</c:f>
            </c:numRef>
          </c:val>
        </c:ser>
        <c:ser>
          <c:idx val="1"/>
          <c:order val="1"/>
          <c:tx>
            <c:strRef>
              <c:f>'REVISÃO 2017-1 - PRIORIZAÇÃO'!$U$1</c:f>
              <c:strCache>
                <c:ptCount val="1"/>
                <c:pt idx="0">
                  <c:v>G3</c:v>
                </c:pt>
              </c:strCache>
            </c:strRef>
          </c:tx>
          <c:invertIfNegative val="0"/>
          <c:cat>
            <c:multiLvlStrRef>
              <c:f>'REVISÃO 2017-1 - PRIORIZAÇÃO'!$S$2:$S$95</c:f>
            </c:multiLvlStrRef>
          </c:cat>
          <c:val>
            <c:numRef>
              <c:f>'REVISÃO 2017-1 - PRIORIZAÇÃO'!$U$2:$U$95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802944"/>
        <c:axId val="124804480"/>
      </c:barChart>
      <c:catAx>
        <c:axId val="124802944"/>
        <c:scaling>
          <c:orientation val="maxMin"/>
        </c:scaling>
        <c:delete val="0"/>
        <c:axPos val="l"/>
        <c:majorTickMark val="out"/>
        <c:minorTickMark val="none"/>
        <c:tickLblPos val="nextTo"/>
        <c:crossAx val="124804480"/>
        <c:crosses val="autoZero"/>
        <c:auto val="1"/>
        <c:lblAlgn val="ctr"/>
        <c:lblOffset val="100"/>
        <c:noMultiLvlLbl val="0"/>
      </c:catAx>
      <c:valAx>
        <c:axId val="124804480"/>
        <c:scaling>
          <c:orientation val="minMax"/>
        </c:scaling>
        <c:delete val="0"/>
        <c:axPos val="t"/>
        <c:majorGridlines/>
        <c:numFmt formatCode="_(* #,##0.00_);_(* \(#,##0.00\);_(* &quot;-&quot;??_);_(@_)" sourceLinked="1"/>
        <c:majorTickMark val="out"/>
        <c:minorTickMark val="none"/>
        <c:tickLblPos val="nextTo"/>
        <c:crossAx val="12480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369791</xdr:colOff>
      <xdr:row>17</xdr:row>
      <xdr:rowOff>62752</xdr:rowOff>
    </xdr:from>
    <xdr:to>
      <xdr:col>10</xdr:col>
      <xdr:colOff>313765</xdr:colOff>
      <xdr:row>60</xdr:row>
      <xdr:rowOff>89648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659945</xdr:colOff>
      <xdr:row>181</xdr:row>
      <xdr:rowOff>457200</xdr:rowOff>
    </xdr:from>
    <xdr:to>
      <xdr:col>9</xdr:col>
      <xdr:colOff>104775</xdr:colOff>
      <xdr:row>191</xdr:row>
      <xdr:rowOff>190500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312963</xdr:colOff>
      <xdr:row>113</xdr:row>
      <xdr:rowOff>145594</xdr:rowOff>
    </xdr:from>
    <xdr:to>
      <xdr:col>16</xdr:col>
      <xdr:colOff>190500</xdr:colOff>
      <xdr:row>166</xdr:row>
      <xdr:rowOff>163286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67234</xdr:colOff>
      <xdr:row>0</xdr:row>
      <xdr:rowOff>595031</xdr:rowOff>
    </xdr:from>
    <xdr:to>
      <xdr:col>43</xdr:col>
      <xdr:colOff>476250</xdr:colOff>
      <xdr:row>95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cardino Siqueira Pires" refreshedDate="42859.50987141204" createdVersion="4" refreshedVersion="4" minRefreshableVersion="3" recordCount="32">
  <cacheSource type="worksheet">
    <worksheetSource ref="A1:B33" sheet="Recursos"/>
  </cacheSource>
  <cacheFields count="2">
    <cacheField name="Colaborador" numFmtId="0">
      <sharedItems/>
    </cacheField>
    <cacheField name="Atividade" numFmtId="0">
      <sharedItems count="9">
        <s v="Desenvolvedor"/>
        <s v="Analista de Suporte"/>
        <s v="Gerente de Projetos"/>
        <s v="Administrador de Banco de Dados (DBA)"/>
        <s v="Analista de Requisitos"/>
        <s v="Web-Designer"/>
        <s v="Estagiário"/>
        <s v="Analista TCE"/>
        <s v="Gerente T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uzia Moreira de Abreu Dourado" refreshedDate="42930.66664560185" createdVersion="4" refreshedVersion="4" minRefreshableVersion="3" recordCount="10">
  <cacheSource type="worksheet">
    <worksheetSource ref="B101:F111" sheet="6- ALINHAMENTO ESTRATÉGIA TI"/>
  </cacheSource>
  <cacheFields count="5">
    <cacheField name="ID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OBJETIVO" numFmtId="0">
      <sharedItems count="10">
        <s v="Aprimorar a Governança de TI"/>
        <s v="Incorporar soluções efetivas de TI nos processos organizacionais"/>
        <s v="Promover a Segurança da Informação"/>
        <s v="Aprimorar entrega de soluções de TI"/>
        <s v="Aprimorar os processos organizacionais de TI"/>
        <s v="Garantir a atualização e adequação da infraestrutura, sistemas e serviços de TI"/>
        <s v="Garantir a disponibilidade de sistemas e serviços de TI essenciais ao Tribunal"/>
        <s v="Promover a capacitação dos servidores de TI"/>
        <s v="Manter adequado o quadro de servidores de TI para a execução da estratégia"/>
        <s v="Aprimorar a aplicação de recursos e investimentos em TI"/>
      </sharedItems>
    </cacheField>
    <cacheField name="NC" numFmtId="0">
      <sharedItems containsSemiMixedTypes="0" containsString="0" containsNumber="1" containsInteger="1" minValue="1" maxValue="28"/>
    </cacheField>
    <cacheField name="ATENDIDAS" numFmtId="0">
      <sharedItems containsSemiMixedTypes="0" containsString="0" containsNumber="1" containsInteger="1" minValue="0" maxValue="6"/>
    </cacheField>
    <cacheField name="%" numFmtId="9">
      <sharedItems containsSemiMixedTypes="0" containsString="0" containsNumber="1" minValue="0" maxValue="0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s v="Amauri da Silva Junior"/>
    <x v="0"/>
  </r>
  <r>
    <s v="Ariel Arthur Santos Silva"/>
    <x v="1"/>
  </r>
  <r>
    <s v="Arlindo Cavalcante Gonçalves"/>
    <x v="2"/>
  </r>
  <r>
    <s v="Augusto Custodio Mendes"/>
    <x v="3"/>
  </r>
  <r>
    <s v="Carlos Roberto Souza de Araujo"/>
    <x v="0"/>
  </r>
  <r>
    <s v="Cassio Guilhermy Tavares Souza"/>
    <x v="4"/>
  </r>
  <r>
    <s v="Ederlan Augusto de Souza"/>
    <x v="4"/>
  </r>
  <r>
    <s v="Edinaldo de Souza Revoredo Junior"/>
    <x v="0"/>
  </r>
  <r>
    <s v="Eduardo Oliveira e Silva"/>
    <x v="1"/>
  </r>
  <r>
    <s v="Felipe"/>
    <x v="4"/>
  </r>
  <r>
    <s v="Francisco Silva Almeida"/>
    <x v="1"/>
  </r>
  <r>
    <s v="Guilherme Lopes de Morais Filho"/>
    <x v="0"/>
  </r>
  <r>
    <s v="Igor Vinicius dos Santos"/>
    <x v="0"/>
  </r>
  <r>
    <s v="Jadson Aires Dorneles"/>
    <x v="5"/>
  </r>
  <r>
    <s v="Leandro da Silva"/>
    <x v="6"/>
  </r>
  <r>
    <s v="Leonardo Zadorosny"/>
    <x v="1"/>
  </r>
  <r>
    <s v="Marla Souza Ribeiro Vargas e Aragão"/>
    <x v="0"/>
  </r>
  <r>
    <s v="Moises Ramos de Oliveira"/>
    <x v="0"/>
  </r>
  <r>
    <s v="Nahaliel"/>
    <x v="6"/>
  </r>
  <r>
    <s v="Raniere"/>
    <x v="6"/>
  </r>
  <r>
    <s v="Vinicius Borges Medeiros"/>
    <x v="0"/>
  </r>
  <r>
    <s v="Novo Analista BI 1"/>
    <x v="4"/>
  </r>
  <r>
    <s v="Novo Programador 1"/>
    <x v="0"/>
  </r>
  <r>
    <s v="Recurso Externo CAST"/>
    <x v="4"/>
  </r>
  <r>
    <s v="Recurso Externo CAST"/>
    <x v="4"/>
  </r>
  <r>
    <s v="TCE - Aelson"/>
    <x v="7"/>
  </r>
  <r>
    <s v="TCE - Marco Antonio"/>
    <x v="7"/>
  </r>
  <r>
    <s v="TCE - Rafael"/>
    <x v="7"/>
  </r>
  <r>
    <s v="TCE-Bruno"/>
    <x v="7"/>
  </r>
  <r>
    <s v="TCE-Licardino"/>
    <x v="8"/>
  </r>
  <r>
    <s v="TCE-Luzia"/>
    <x v="7"/>
  </r>
  <r>
    <s v="TCE-Mauricio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x v="0"/>
    <x v="0"/>
    <n v="8"/>
    <n v="3"/>
    <n v="0.375"/>
  </r>
  <r>
    <x v="1"/>
    <x v="1"/>
    <n v="28"/>
    <n v="6"/>
    <n v="0.21428571428571427"/>
  </r>
  <r>
    <x v="2"/>
    <x v="2"/>
    <n v="5"/>
    <n v="1"/>
    <n v="0.2"/>
  </r>
  <r>
    <x v="3"/>
    <x v="3"/>
    <n v="14"/>
    <n v="2"/>
    <n v="0.14285714285714285"/>
  </r>
  <r>
    <x v="4"/>
    <x v="4"/>
    <n v="6"/>
    <n v="2"/>
    <n v="0.33333333333333331"/>
  </r>
  <r>
    <x v="5"/>
    <x v="5"/>
    <n v="12"/>
    <n v="4"/>
    <n v="0.33333333333333331"/>
  </r>
  <r>
    <x v="6"/>
    <x v="6"/>
    <n v="6"/>
    <n v="1"/>
    <n v="0.16666666666666666"/>
  </r>
  <r>
    <x v="7"/>
    <x v="7"/>
    <n v="1"/>
    <n v="0"/>
    <n v="0"/>
  </r>
  <r>
    <x v="8"/>
    <x v="8"/>
    <n v="1"/>
    <n v="0"/>
    <n v="0"/>
  </r>
  <r>
    <x v="9"/>
    <x v="9"/>
    <n v="8"/>
    <n v="1"/>
    <n v="0.1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9">
  <location ref="B116:C127" firstHeaderRow="1" firstDataRow="1" firstDataCol="1"/>
  <pivotFields count="5">
    <pivotField axis="axisRow" numFmtId="165" showAll="0" sortType="descending">
      <items count="11"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11">
        <item x="9"/>
        <item x="0"/>
        <item x="3"/>
        <item x="4"/>
        <item x="5"/>
        <item x="6"/>
        <item x="1"/>
        <item x="8"/>
        <item x="7"/>
        <item x="2"/>
        <item t="default"/>
      </items>
    </pivotField>
    <pivotField showAll="0"/>
    <pivotField showAll="0"/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a de %" fld="4" baseField="0" baseItem="0" numFmtId="9"/>
  </dataFields>
  <formats count="1">
    <format dxfId="0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1" cacheId="1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2:G12" firstHeaderRow="1" firstDataRow="1" firstDataCol="1"/>
  <pivotFields count="2">
    <pivotField showAll="0"/>
    <pivotField axis="axisRow" dataField="1" showAll="0">
      <items count="10">
        <item x="3"/>
        <item x="4"/>
        <item x="1"/>
        <item x="7"/>
        <item x="0"/>
        <item x="6"/>
        <item x="2"/>
        <item x="8"/>
        <item x="5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ntagem de Atividad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45"/>
  <sheetViews>
    <sheetView topLeftCell="C1" zoomScale="85" zoomScaleNormal="85" workbookViewId="0">
      <selection activeCell="N2" sqref="N2:N15"/>
    </sheetView>
  </sheetViews>
  <sheetFormatPr defaultRowHeight="12.75" x14ac:dyDescent="0.2"/>
  <cols>
    <col min="1" max="1" width="10.140625" style="168" customWidth="1"/>
    <col min="2" max="2" width="50.85546875" style="170" customWidth="1"/>
    <col min="3" max="3" width="11.140625" style="120" customWidth="1"/>
    <col min="4" max="4" width="40.7109375" style="127" customWidth="1"/>
    <col min="5" max="5" width="57.85546875" style="127" bestFit="1" customWidth="1"/>
    <col min="6" max="6" width="19.5703125" style="120" customWidth="1"/>
    <col min="7" max="7" width="51.42578125" style="128" bestFit="1" customWidth="1"/>
    <col min="8" max="11" width="14.42578125" style="120" bestFit="1" customWidth="1"/>
    <col min="12" max="13" width="14.42578125" style="120" customWidth="1"/>
    <col min="14" max="14" width="14.42578125" style="120" bestFit="1" customWidth="1"/>
    <col min="15" max="15" width="8" style="120" customWidth="1"/>
    <col min="16" max="16" width="8.42578125" style="120" customWidth="1"/>
    <col min="17" max="20" width="4.85546875" style="120" customWidth="1"/>
    <col min="21" max="21" width="12.28515625" style="120" customWidth="1"/>
    <col min="22" max="63" width="22" style="120" customWidth="1"/>
    <col min="64" max="64" width="22" style="120" bestFit="1" customWidth="1"/>
    <col min="65" max="71" width="22" style="120" customWidth="1"/>
    <col min="72" max="76" width="27" style="120" bestFit="1" customWidth="1"/>
    <col min="77" max="16384" width="9.140625" style="120"/>
  </cols>
  <sheetData>
    <row r="1" spans="1:14" ht="35.1" customHeight="1" x14ac:dyDescent="0.35">
      <c r="A1" s="197" t="s">
        <v>0</v>
      </c>
      <c r="B1" s="198"/>
      <c r="C1" s="562" t="s">
        <v>1205</v>
      </c>
      <c r="D1" s="563"/>
      <c r="E1" s="563"/>
      <c r="F1" s="563"/>
      <c r="G1" s="564"/>
      <c r="H1" s="562" t="s">
        <v>971</v>
      </c>
      <c r="I1" s="563"/>
      <c r="J1" s="563"/>
      <c r="K1" s="563"/>
      <c r="L1" s="563"/>
      <c r="M1" s="563"/>
      <c r="N1" s="564"/>
    </row>
    <row r="2" spans="1:14" ht="35.1" customHeight="1" x14ac:dyDescent="0.2">
      <c r="A2" s="309" t="s">
        <v>205</v>
      </c>
      <c r="B2" s="308" t="s">
        <v>1207</v>
      </c>
      <c r="C2" s="195" t="s">
        <v>858</v>
      </c>
      <c r="D2" s="195" t="s">
        <v>2</v>
      </c>
      <c r="E2" s="195" t="s">
        <v>3</v>
      </c>
      <c r="F2" s="195" t="s">
        <v>1</v>
      </c>
      <c r="G2" s="195" t="s">
        <v>4</v>
      </c>
      <c r="H2" s="196" t="s">
        <v>972</v>
      </c>
      <c r="I2" s="196" t="s">
        <v>974</v>
      </c>
      <c r="J2" s="210" t="s">
        <v>1106</v>
      </c>
      <c r="K2" s="210" t="s">
        <v>1107</v>
      </c>
      <c r="L2" s="210" t="s">
        <v>1204</v>
      </c>
      <c r="M2" s="210" t="s">
        <v>1390</v>
      </c>
      <c r="N2" s="302" t="s">
        <v>1401</v>
      </c>
    </row>
    <row r="3" spans="1:14" ht="35.1" customHeight="1" x14ac:dyDescent="0.2">
      <c r="A3" s="169">
        <v>2</v>
      </c>
      <c r="B3" s="171" t="str">
        <f>VLOOKUP(A3,'6- ALINHAMENTO ESTRATÉGIA TI'!$B$101:$C$111,2,0)</f>
        <v>Incorporar soluções efetivas de TI nos processos organizacionais</v>
      </c>
      <c r="C3" s="121" t="s">
        <v>1208</v>
      </c>
      <c r="D3" s="122" t="str">
        <f>CONCATENATE("Ampliar a oferta de ",'2-Inventário de Necessidades'!B66)</f>
        <v>Ampliar a oferta de Sistemas de Informação</v>
      </c>
      <c r="E3" s="167" t="str">
        <f>CONCATENATE("Percentual de ações executadas de ",'2-Inventário de Necessidades'!B66)</f>
        <v>Percentual de ações executadas de Sistemas de Informação</v>
      </c>
      <c r="F3" s="123">
        <f>'2-Inventário de Necessidades'!D66</f>
        <v>0.7</v>
      </c>
      <c r="G3" s="124" t="str">
        <f>CONCATENATE("[∑ (ações de ",'2-Inventário de Necessidades'!B66,"concluídas) / ∑ (total ações de ",'2-Inventário de Necessidades'!B66,")]")</f>
        <v>[∑ (ações de Sistemas de Informaçãoconcluídas) / ∑ (total ações de Sistemas de Informação)]</v>
      </c>
      <c r="H3" s="172">
        <v>2.7027027027027029E-2</v>
      </c>
      <c r="I3" s="172">
        <v>0.28169014084507044</v>
      </c>
      <c r="J3" s="172">
        <v>0.30985915492957744</v>
      </c>
      <c r="K3" s="172">
        <v>0.30985915492957744</v>
      </c>
      <c r="L3" s="172">
        <v>0.3048780487804878</v>
      </c>
      <c r="M3" s="172">
        <v>0.39759036144578314</v>
      </c>
      <c r="N3" s="303">
        <f>'3-Plano de Ações'!I176</f>
        <v>0.57831325301204817</v>
      </c>
    </row>
    <row r="4" spans="1:14" ht="35.1" customHeight="1" x14ac:dyDescent="0.2">
      <c r="A4" s="169">
        <v>1</v>
      </c>
      <c r="B4" s="171" t="str">
        <f>VLOOKUP(A4,'6- ALINHAMENTO ESTRATÉGIA TI'!$B$101:$C$111,2,0)</f>
        <v>Aprimorar a Governança de TI</v>
      </c>
      <c r="C4" s="121" t="s">
        <v>1209</v>
      </c>
      <c r="D4" s="122" t="str">
        <f>CONCATENATE("Aprimorar a ",'2-Inventário de Necessidades'!B67)</f>
        <v>Aprimorar a Governança e Gestão de TI</v>
      </c>
      <c r="E4" s="167" t="str">
        <f>CONCATENATE("Percentual de ações executadas de ",'2-Inventário de Necessidades'!B67)</f>
        <v>Percentual de ações executadas de Governança e Gestão de TI</v>
      </c>
      <c r="F4" s="123">
        <f>'2-Inventário de Necessidades'!D67</f>
        <v>0.7</v>
      </c>
      <c r="G4" s="124" t="str">
        <f>CONCATENATE("[∑ (ações de ",'2-Inventário de Necessidades'!B67,"concluídas) / ∑ (total ações de ",'2-Inventário de Necessidades'!B67,")]")</f>
        <v>[∑ (ações de Governança e Gestão de TIconcluídas) / ∑ (total ações de Governança e Gestão de TI)]</v>
      </c>
      <c r="H4" s="172">
        <v>0</v>
      </c>
      <c r="I4" s="172">
        <v>0.16129032258064516</v>
      </c>
      <c r="J4" s="172">
        <v>0.22580645161290322</v>
      </c>
      <c r="K4" s="172">
        <v>0.32258064516129031</v>
      </c>
      <c r="L4" s="172">
        <v>0.32258064516129031</v>
      </c>
      <c r="M4" s="172">
        <v>0.32258064516129031</v>
      </c>
      <c r="N4" s="303">
        <f>'3-Plano de Ações'!I177</f>
        <v>0.32258064516129031</v>
      </c>
    </row>
    <row r="5" spans="1:14" ht="35.1" customHeight="1" x14ac:dyDescent="0.2">
      <c r="A5" s="169">
        <v>6</v>
      </c>
      <c r="B5" s="171" t="str">
        <f>VLOOKUP(A5,'6- ALINHAMENTO ESTRATÉGIA TI'!$B$101:$C$111,2,0)</f>
        <v>Garantir a atualização e adequação da infraestrutura, sistemas e serviços de TI</v>
      </c>
      <c r="C5" s="121" t="s">
        <v>1210</v>
      </c>
      <c r="D5" s="122" t="str">
        <f>CONCATENATE("Aprimorar a ",'2-Inventário de Necessidades'!B68)</f>
        <v>Aprimorar a Infraestrutura de TI</v>
      </c>
      <c r="E5" s="167" t="str">
        <f>CONCATENATE("Percentual de ações executadas de ",'2-Inventário de Necessidades'!B68)</f>
        <v>Percentual de ações executadas de Infraestrutura de TI</v>
      </c>
      <c r="F5" s="123">
        <f>'2-Inventário de Necessidades'!D68</f>
        <v>0.9</v>
      </c>
      <c r="G5" s="124" t="str">
        <f>CONCATENATE("[∑ (ações de ",'2-Inventário de Necessidades'!B68,"concluídas) / ∑ (total ações de ",'2-Inventário de Necessidades'!B68,")]")</f>
        <v>[∑ (ações de Infraestrutura de TIconcluídas) / ∑ (total ações de Infraestrutura de TI)]</v>
      </c>
      <c r="H5" s="172">
        <v>0</v>
      </c>
      <c r="I5" s="172">
        <v>0.45833333333333331</v>
      </c>
      <c r="J5" s="172">
        <v>0.5</v>
      </c>
      <c r="K5" s="172">
        <v>0.75</v>
      </c>
      <c r="L5" s="172">
        <v>0.79166666666666663</v>
      </c>
      <c r="M5" s="172">
        <v>0.79166666666666663</v>
      </c>
      <c r="N5" s="303">
        <f>'3-Plano de Ações'!I179</f>
        <v>0.875</v>
      </c>
    </row>
    <row r="6" spans="1:14" ht="35.1" customHeight="1" x14ac:dyDescent="0.2">
      <c r="A6" s="169">
        <v>9</v>
      </c>
      <c r="B6" s="171" t="str">
        <f>VLOOKUP(A6,'6- ALINHAMENTO ESTRATÉGIA TI'!$B$101:$C$111,2,0)</f>
        <v>Manter adequado o quadro de servidores de TI para a execução da estratégia</v>
      </c>
      <c r="C6" s="121" t="s">
        <v>1211</v>
      </c>
      <c r="D6" s="122" t="str">
        <f>CONCATENATE("Aprimorar aspectos de ",'2-Inventário de Necessidades'!B69)</f>
        <v>Aprimorar aspectos de Pessoal de TI</v>
      </c>
      <c r="E6" s="167" t="str">
        <f>CONCATENATE("Percentual de ações executadas de ",'2-Inventário de Necessidades'!B69)</f>
        <v>Percentual de ações executadas de Pessoal de TI</v>
      </c>
      <c r="F6" s="123">
        <f>'2-Inventário de Necessidades'!D69</f>
        <v>1</v>
      </c>
      <c r="G6" s="124" t="str">
        <f>CONCATENATE("[∑ (ações de ",'2-Inventário de Necessidades'!B69,"concluídas) / ∑ (total ações de ",'2-Inventário de Necessidades'!B69,")]")</f>
        <v>[∑ (ações de Pessoal de TIconcluídas) / ∑ (total ações de Pessoal de TI)]</v>
      </c>
      <c r="H6" s="172">
        <v>0</v>
      </c>
      <c r="I6" s="172">
        <v>0</v>
      </c>
      <c r="J6" s="172">
        <v>0</v>
      </c>
      <c r="K6" s="172">
        <v>0.33333333333333331</v>
      </c>
      <c r="L6" s="172">
        <v>0.33333333333333331</v>
      </c>
      <c r="M6" s="172">
        <v>0.33333333333333331</v>
      </c>
      <c r="N6" s="303">
        <f>'3-Plano de Ações'!I175</f>
        <v>0.33333333333333331</v>
      </c>
    </row>
    <row r="7" spans="1:14" ht="35.1" customHeight="1" x14ac:dyDescent="0.2">
      <c r="A7" s="169">
        <v>6</v>
      </c>
      <c r="B7" s="171" t="str">
        <f>VLOOKUP(A7,'6- ALINHAMENTO ESTRATÉGIA TI'!$B$101:$C$111,2,0)</f>
        <v>Garantir a atualização e adequação da infraestrutura, sistemas e serviços de TI</v>
      </c>
      <c r="C7" s="121" t="s">
        <v>1212</v>
      </c>
      <c r="D7" s="122" t="str">
        <f>CONCATENATE("Ampliar a oferta de ",'2-Inventário de Necessidades'!B70)</f>
        <v>Ampliar a oferta de Serviços de TI</v>
      </c>
      <c r="E7" s="167" t="str">
        <f>CONCATENATE("Percentual de ações executadas de ",'2-Inventário de Necessidades'!B70)</f>
        <v>Percentual de ações executadas de Serviços de TI</v>
      </c>
      <c r="F7" s="123">
        <f>'2-Inventário de Necessidades'!D70</f>
        <v>0.9</v>
      </c>
      <c r="G7" s="124" t="str">
        <f>CONCATENATE("[∑ (ações de ",'2-Inventário de Necessidades'!B70,"concluídas) / ∑ (total ações de ",'2-Inventário de Necessidades'!B70,")]")</f>
        <v>[∑ (ações de Serviços de TIconcluídas) / ∑ (total ações de Serviços de TI)]</v>
      </c>
      <c r="H7" s="172">
        <v>0</v>
      </c>
      <c r="I7" s="172">
        <v>0.68</v>
      </c>
      <c r="J7" s="172">
        <v>0.72</v>
      </c>
      <c r="K7" s="172">
        <v>0.76</v>
      </c>
      <c r="L7" s="172">
        <v>0.7142857142857143</v>
      </c>
      <c r="M7" s="172">
        <v>0.7142857142857143</v>
      </c>
      <c r="N7" s="303">
        <f>'3-Plano de Ações'!I178</f>
        <v>0.7142857142857143</v>
      </c>
    </row>
    <row r="8" spans="1:14" ht="35.1" customHeight="1" x14ac:dyDescent="0.2">
      <c r="A8" s="169">
        <v>1</v>
      </c>
      <c r="B8" s="171" t="str">
        <f>VLOOKUP(A8,'6- ALINHAMENTO ESTRATÉGIA TI'!$B$101:$C$111,2,0)</f>
        <v>Aprimorar a Governança de TI</v>
      </c>
      <c r="C8" s="121" t="s">
        <v>1213</v>
      </c>
      <c r="D8" s="122" t="s">
        <v>857</v>
      </c>
      <c r="E8" s="167" t="str">
        <f>CONCATENATE("Percentual de ações executadas no ",'2-Inventário de Necessidades'!B71)</f>
        <v>Percentual de ações executadas no TOTAL</v>
      </c>
      <c r="F8" s="123">
        <f>'2-Inventário de Necessidades'!D71</f>
        <v>0.75245901639344259</v>
      </c>
      <c r="G8" s="124" t="str">
        <f>CONCATENATE("[∑ (ações no ",'2-Inventário de Necessidades'!B71,"concluídas) / ∑ (total ações no ",'2-Inventário de Necessidades'!B71,")]")</f>
        <v>[∑ (ações no TOTALconcluídas) / ∑ (total ações no TOTAL)]</v>
      </c>
      <c r="H8" s="172">
        <v>1.6666666666666666E-2</v>
      </c>
      <c r="I8" s="172">
        <v>0.11666666666666667</v>
      </c>
      <c r="J8" s="172">
        <v>0.15</v>
      </c>
      <c r="K8" s="172">
        <v>0.2</v>
      </c>
      <c r="L8" s="172">
        <v>0.19672131147540983</v>
      </c>
      <c r="M8" s="172">
        <v>0.24590163934426229</v>
      </c>
      <c r="N8" s="303">
        <f>'2-Inventário de Necessidades'!F71</f>
        <v>0.36065573770491804</v>
      </c>
    </row>
    <row r="9" spans="1:14" ht="35.1" customHeight="1" x14ac:dyDescent="0.2">
      <c r="A9" s="169">
        <v>8</v>
      </c>
      <c r="B9" s="171" t="str">
        <f>VLOOKUP(A9,'6- ALINHAMENTO ESTRATÉGIA TI'!$B$101:$C$111,2,0)</f>
        <v>Promover a capacitação dos servidores de TI</v>
      </c>
      <c r="C9" s="121" t="s">
        <v>1214</v>
      </c>
      <c r="D9" s="122" t="s">
        <v>6</v>
      </c>
      <c r="E9" s="122" t="s">
        <v>901</v>
      </c>
      <c r="F9" s="310">
        <f>15/29</f>
        <v>0.51724137931034486</v>
      </c>
      <c r="G9" s="124" t="s">
        <v>1217</v>
      </c>
      <c r="H9" s="172">
        <v>0</v>
      </c>
      <c r="I9" s="172">
        <v>0</v>
      </c>
      <c r="J9" s="172">
        <v>6.6666666666666666E-2</v>
      </c>
      <c r="K9" s="172">
        <v>6.6666666666666666E-2</v>
      </c>
      <c r="L9" s="172">
        <v>6.6666666666666666E-2</v>
      </c>
      <c r="M9" s="172">
        <v>6.6666666666666666E-2</v>
      </c>
      <c r="N9" s="303">
        <f>'5-Capacitação'!C35/15</f>
        <v>6.6666666666666666E-2</v>
      </c>
    </row>
    <row r="10" spans="1:14" ht="35.1" customHeight="1" x14ac:dyDescent="0.2">
      <c r="A10" s="169">
        <v>2</v>
      </c>
      <c r="B10" s="171" t="str">
        <f>VLOOKUP(A10,'6- ALINHAMENTO ESTRATÉGIA TI'!$B$101:$C$111,2,0)</f>
        <v>Incorporar soluções efetivas de TI nos processos organizacionais</v>
      </c>
      <c r="C10" s="121" t="s">
        <v>1215</v>
      </c>
      <c r="D10" s="125" t="str">
        <f>'6- ALINHAMENTO ESTRATÉGIA TI'!C103</f>
        <v>Incorporar soluções efetivas de TI nos processos organizacionais</v>
      </c>
      <c r="E10" s="167" t="str">
        <f>CONCATENATE("Percentual de necessidades atendidas, alinhadas ao OE ",'6- ALINHAMENTO ESTRATÉGIA TI'!B103," - ",D10)</f>
        <v>Percentual de necessidades atendidas, alinhadas ao OE 2 - Incorporar soluções efetivas de TI nos processos organizacionais</v>
      </c>
      <c r="F10" s="126">
        <v>0.75</v>
      </c>
      <c r="G10" s="124" t="str">
        <f t="shared" ref="G10:G15" si="0">CONCATENATE("[∑ (necessidades atendidas alinhadas ao objetivo estratégico) / ∑ (total de necessidades alinhadas ao objetivo)]")</f>
        <v>[∑ (necessidades atendidas alinhadas ao objetivo estratégico) / ∑ (total de necessidades alinhadas ao objetivo)]</v>
      </c>
      <c r="H10" s="172">
        <v>0.04</v>
      </c>
      <c r="I10" s="172">
        <v>0.16</v>
      </c>
      <c r="J10" s="172">
        <v>0.2</v>
      </c>
      <c r="K10" s="172">
        <v>0.2</v>
      </c>
      <c r="L10" s="172">
        <v>0.14285714285714285</v>
      </c>
      <c r="M10" s="172">
        <v>0.21428571428571427</v>
      </c>
      <c r="N10" s="303">
        <f>'6- ALINHAMENTO ESTRATÉGIA TI'!F103</f>
        <v>0.21428571428571427</v>
      </c>
    </row>
    <row r="11" spans="1:14" ht="35.1" customHeight="1" x14ac:dyDescent="0.2">
      <c r="A11" s="169">
        <v>3</v>
      </c>
      <c r="B11" s="171" t="str">
        <f>VLOOKUP(A11,'6- ALINHAMENTO ESTRATÉGIA TI'!$B$101:$C$111,2,0)</f>
        <v>Promover a Segurança da Informação</v>
      </c>
      <c r="C11" s="121" t="s">
        <v>1216</v>
      </c>
      <c r="D11" s="125" t="str">
        <f>'6- ALINHAMENTO ESTRATÉGIA TI'!C104</f>
        <v>Promover a Segurança da Informação</v>
      </c>
      <c r="E11" s="167" t="str">
        <f>CONCATENATE("Percentual de necessidades atendidas, alinhadas ao OE ",'6- ALINHAMENTO ESTRATÉGIA TI'!B104," - ",D11)</f>
        <v>Percentual de necessidades atendidas, alinhadas ao OE 3 - Promover a Segurança da Informação</v>
      </c>
      <c r="F11" s="126">
        <v>0.75</v>
      </c>
      <c r="G11" s="124" t="str">
        <f t="shared" si="0"/>
        <v>[∑ (necessidades atendidas alinhadas ao objetivo estratégico) / ∑ (total de necessidades alinhadas ao objetivo)]</v>
      </c>
      <c r="H11" s="172">
        <v>0</v>
      </c>
      <c r="I11" s="172">
        <v>0</v>
      </c>
      <c r="J11" s="172">
        <v>0</v>
      </c>
      <c r="K11" s="172">
        <v>0</v>
      </c>
      <c r="L11" s="172">
        <v>0.2</v>
      </c>
      <c r="M11" s="172">
        <v>0.2</v>
      </c>
      <c r="N11" s="303">
        <f>'6- ALINHAMENTO ESTRATÉGIA TI'!F104</f>
        <v>0.2</v>
      </c>
    </row>
    <row r="12" spans="1:14" ht="35.1" customHeight="1" x14ac:dyDescent="0.2">
      <c r="A12" s="169">
        <v>4</v>
      </c>
      <c r="B12" s="171" t="str">
        <f>VLOOKUP(A12,'6- ALINHAMENTO ESTRATÉGIA TI'!$B$101:$C$111,2,0)</f>
        <v>Aprimorar entrega de soluções de TI</v>
      </c>
      <c r="C12" s="121" t="s">
        <v>906</v>
      </c>
      <c r="D12" s="125" t="str">
        <f>'6- ALINHAMENTO ESTRATÉGIA TI'!C105</f>
        <v>Aprimorar entrega de soluções de TI</v>
      </c>
      <c r="E12" s="167" t="str">
        <f>CONCATENATE("Percentual de necessidades atendidas, alinhadas ao OE ",'6- ALINHAMENTO ESTRATÉGIA TI'!B105," - ",D12)</f>
        <v>Percentual de necessidades atendidas, alinhadas ao OE 4 - Aprimorar entrega de soluções de TI</v>
      </c>
      <c r="F12" s="126">
        <v>0.75</v>
      </c>
      <c r="G12" s="124" t="str">
        <f t="shared" si="0"/>
        <v>[∑ (necessidades atendidas alinhadas ao objetivo estratégico) / ∑ (total de necessidades alinhadas ao objetivo)]</v>
      </c>
      <c r="H12" s="172">
        <v>0</v>
      </c>
      <c r="I12" s="172">
        <v>0</v>
      </c>
      <c r="J12" s="172">
        <v>6.6666666666666666E-2</v>
      </c>
      <c r="K12" s="172">
        <v>6.6666666666666666E-2</v>
      </c>
      <c r="L12" s="172">
        <v>7.1428571428571425E-2</v>
      </c>
      <c r="M12" s="172">
        <v>0.14285714285714285</v>
      </c>
      <c r="N12" s="303">
        <f>'6- ALINHAMENTO ESTRATÉGIA TI'!F105</f>
        <v>0.5</v>
      </c>
    </row>
    <row r="13" spans="1:14" ht="35.1" customHeight="1" x14ac:dyDescent="0.2">
      <c r="A13" s="169">
        <v>5</v>
      </c>
      <c r="B13" s="171" t="str">
        <f>VLOOKUP(A13,'6- ALINHAMENTO ESTRATÉGIA TI'!$B$101:$C$111,2,0)</f>
        <v>Aprimorar os processos organizacionais de TI</v>
      </c>
      <c r="C13" s="121" t="s">
        <v>907</v>
      </c>
      <c r="D13" s="125" t="str">
        <f>'6- ALINHAMENTO ESTRATÉGIA TI'!C106</f>
        <v>Aprimorar os processos organizacionais de TI</v>
      </c>
      <c r="E13" s="167" t="str">
        <f>CONCATENATE("Percentual de necessidades atendidas, alinhadas ao OE ",'6- ALINHAMENTO ESTRATÉGIA TI'!B106," - ",D13)</f>
        <v>Percentual de necessidades atendidas, alinhadas ao OE 5 - Aprimorar os processos organizacionais de TI</v>
      </c>
      <c r="F13" s="126">
        <v>0.75</v>
      </c>
      <c r="G13" s="124" t="str">
        <f t="shared" si="0"/>
        <v>[∑ (necessidades atendidas alinhadas ao objetivo estratégico) / ∑ (total de necessidades alinhadas ao objetivo)]</v>
      </c>
      <c r="H13" s="172">
        <v>0</v>
      </c>
      <c r="I13" s="172">
        <v>0</v>
      </c>
      <c r="J13" s="172">
        <v>0</v>
      </c>
      <c r="K13" s="172">
        <v>0.33333333333333331</v>
      </c>
      <c r="L13" s="172">
        <v>0.33333333333333331</v>
      </c>
      <c r="M13" s="172">
        <v>0.33333333333333331</v>
      </c>
      <c r="N13" s="303">
        <f>'6- ALINHAMENTO ESTRATÉGIA TI'!F106</f>
        <v>0.33333333333333331</v>
      </c>
    </row>
    <row r="14" spans="1:14" ht="35.1" customHeight="1" x14ac:dyDescent="0.2">
      <c r="A14" s="169">
        <v>6</v>
      </c>
      <c r="B14" s="171" t="str">
        <f>VLOOKUP(A14,'6- ALINHAMENTO ESTRATÉGIA TI'!$B$101:$C$111,2,0)</f>
        <v>Garantir a atualização e adequação da infraestrutura, sistemas e serviços de TI</v>
      </c>
      <c r="C14" s="121" t="s">
        <v>908</v>
      </c>
      <c r="D14" s="125" t="str">
        <f>'6- ALINHAMENTO ESTRATÉGIA TI'!C107</f>
        <v>Garantir a atualização e adequação da infraestrutura, sistemas e serviços de TI</v>
      </c>
      <c r="E14" s="167" t="str">
        <f>CONCATENATE("Percentual de necessidades atendidas, alinhadas ao OE ",'6- ALINHAMENTO ESTRATÉGIA TI'!B107," - ",D14)</f>
        <v>Percentual de necessidades atendidas, alinhadas ao OE 6 - Garantir a atualização e adequação da infraestrutura, sistemas e serviços de TI</v>
      </c>
      <c r="F14" s="126">
        <v>0.85</v>
      </c>
      <c r="G14" s="124" t="str">
        <f t="shared" si="0"/>
        <v>[∑ (necessidades atendidas alinhadas ao objetivo estratégico) / ∑ (total de necessidades alinhadas ao objetivo)]</v>
      </c>
      <c r="H14" s="172">
        <v>0</v>
      </c>
      <c r="I14" s="172">
        <v>0.2857142857142857</v>
      </c>
      <c r="J14" s="172">
        <v>0.2857142857142857</v>
      </c>
      <c r="K14" s="172">
        <v>0.2857142857142857</v>
      </c>
      <c r="L14" s="172">
        <v>0.25</v>
      </c>
      <c r="M14" s="172">
        <v>0.33333333333333331</v>
      </c>
      <c r="N14" s="303">
        <f>'6- ALINHAMENTO ESTRATÉGIA TI'!F107</f>
        <v>0.58333333333333337</v>
      </c>
    </row>
    <row r="15" spans="1:14" ht="35.1" customHeight="1" x14ac:dyDescent="0.2">
      <c r="A15" s="169">
        <v>7</v>
      </c>
      <c r="B15" s="171" t="str">
        <f>VLOOKUP(A15,'6- ALINHAMENTO ESTRATÉGIA TI'!$B$101:$C$111,2,0)</f>
        <v>Garantir a disponibilidade de sistemas e serviços de TI essenciais ao Tribunal</v>
      </c>
      <c r="C15" s="121" t="s">
        <v>909</v>
      </c>
      <c r="D15" s="125" t="str">
        <f>'6- ALINHAMENTO ESTRATÉGIA TI'!C108</f>
        <v>Garantir a disponibilidade de sistemas e serviços de TI essenciais ao Tribunal</v>
      </c>
      <c r="E15" s="167" t="str">
        <f>CONCATENATE("Percentual de necessidades atendidas, alinhadas ao OE ",'6- ALINHAMENTO ESTRATÉGIA TI'!B108," - ",D15)</f>
        <v>Percentual de necessidades atendidas, alinhadas ao OE 7 - Garantir a disponibilidade de sistemas e serviços de TI essenciais ao Tribunal</v>
      </c>
      <c r="F15" s="126">
        <v>0.85</v>
      </c>
      <c r="G15" s="124" t="str">
        <f t="shared" si="0"/>
        <v>[∑ (necessidades atendidas alinhadas ao objetivo estratégico) / ∑ (total de necessidades alinhadas ao objetivo)]</v>
      </c>
      <c r="H15" s="172">
        <v>0</v>
      </c>
      <c r="I15" s="172">
        <v>0</v>
      </c>
      <c r="J15" s="172">
        <v>0.16666666666666666</v>
      </c>
      <c r="K15" s="172">
        <v>0.16666666666666666</v>
      </c>
      <c r="L15" s="172">
        <v>0.16666666666666666</v>
      </c>
      <c r="M15" s="172">
        <v>0.16666666666666666</v>
      </c>
      <c r="N15" s="303">
        <f>'6- ALINHAMENTO ESTRATÉGIA TI'!F108</f>
        <v>0.33333333333333331</v>
      </c>
    </row>
    <row r="67" spans="5:76" ht="15" x14ac:dyDescent="0.25">
      <c r="E67" s="299"/>
      <c r="F67"/>
    </row>
    <row r="69" spans="5:76" ht="15" x14ac:dyDescent="0.25">
      <c r="E69" s="299"/>
      <c r="F69"/>
      <c r="G69"/>
      <c r="H69"/>
      <c r="I69"/>
      <c r="J69"/>
      <c r="K69"/>
      <c r="L69" s="28"/>
      <c r="M69" s="28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</row>
    <row r="70" spans="5:76" ht="15" x14ac:dyDescent="0.25">
      <c r="E70" s="299"/>
      <c r="F70"/>
      <c r="G70"/>
      <c r="H70"/>
      <c r="I70"/>
      <c r="J70"/>
      <c r="K70"/>
      <c r="L70" s="28"/>
      <c r="M70" s="28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</row>
    <row r="71" spans="5:76" ht="15" x14ac:dyDescent="0.25">
      <c r="E71" s="299"/>
      <c r="F71"/>
      <c r="G71"/>
      <c r="H71"/>
      <c r="I71"/>
      <c r="J71"/>
      <c r="K71"/>
      <c r="L71" s="28"/>
      <c r="M71" s="28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</row>
    <row r="72" spans="5:76" ht="15" x14ac:dyDescent="0.25">
      <c r="E72" s="299"/>
      <c r="F72"/>
      <c r="G72"/>
      <c r="H72"/>
      <c r="I72"/>
      <c r="J72"/>
      <c r="K72"/>
      <c r="L72" s="28"/>
      <c r="M72" s="28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</row>
    <row r="73" spans="5:76" ht="15" x14ac:dyDescent="0.25">
      <c r="E73" s="299"/>
      <c r="F73"/>
      <c r="G73"/>
      <c r="H73"/>
      <c r="I73"/>
      <c r="J73"/>
      <c r="K73"/>
      <c r="L73" s="28"/>
      <c r="M73" s="28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5:76" ht="15" x14ac:dyDescent="0.25">
      <c r="E74" s="299"/>
      <c r="F74"/>
      <c r="G74"/>
      <c r="H74"/>
      <c r="I74"/>
      <c r="J74"/>
      <c r="K74"/>
      <c r="L74" s="28"/>
      <c r="M74" s="28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5:76" ht="15" x14ac:dyDescent="0.25">
      <c r="E75" s="299"/>
      <c r="F75"/>
      <c r="G75"/>
      <c r="H75"/>
      <c r="I75"/>
      <c r="J75"/>
      <c r="K75"/>
      <c r="L75" s="28"/>
      <c r="M75" s="28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</row>
    <row r="76" spans="5:76" ht="15" x14ac:dyDescent="0.25">
      <c r="E76" s="299"/>
      <c r="F76"/>
      <c r="G76"/>
      <c r="H76"/>
      <c r="I76"/>
      <c r="J76"/>
      <c r="K76"/>
      <c r="L76" s="28"/>
      <c r="M76" s="28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5:76" ht="15" x14ac:dyDescent="0.25">
      <c r="E77" s="299"/>
      <c r="F77"/>
      <c r="G77"/>
      <c r="H77"/>
      <c r="I77"/>
      <c r="J77"/>
      <c r="K77"/>
      <c r="L77" s="28"/>
      <c r="M77" s="28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5:76" ht="15" x14ac:dyDescent="0.25">
      <c r="E78" s="299"/>
      <c r="F78"/>
      <c r="G78"/>
      <c r="H78"/>
      <c r="I78"/>
      <c r="J78"/>
      <c r="K78"/>
      <c r="L78" s="28"/>
      <c r="M78" s="2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5:76" ht="15" x14ac:dyDescent="0.25">
      <c r="E79" s="299"/>
      <c r="F79"/>
      <c r="G79"/>
      <c r="H79"/>
      <c r="I79"/>
      <c r="J79"/>
      <c r="K79"/>
      <c r="L79" s="28"/>
      <c r="M79" s="28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5:76" ht="15" x14ac:dyDescent="0.25">
      <c r="E80" s="299"/>
      <c r="F80"/>
      <c r="G80"/>
      <c r="H80"/>
      <c r="I80"/>
      <c r="J80"/>
      <c r="K80"/>
      <c r="L80" s="28"/>
      <c r="M80" s="28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5:53" ht="15" x14ac:dyDescent="0.25">
      <c r="E81" s="299"/>
      <c r="F81"/>
      <c r="G81"/>
      <c r="H81"/>
      <c r="I81"/>
      <c r="J81"/>
      <c r="K81"/>
      <c r="L81" s="28"/>
      <c r="M81" s="28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5:53" ht="15" x14ac:dyDescent="0.25">
      <c r="E82" s="299"/>
      <c r="F82"/>
      <c r="G82"/>
      <c r="H82"/>
      <c r="I82"/>
      <c r="J82"/>
      <c r="K82"/>
      <c r="L82" s="28"/>
      <c r="M82" s="28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5:53" ht="15" x14ac:dyDescent="0.25">
      <c r="E83" s="299"/>
      <c r="F83"/>
      <c r="G83"/>
      <c r="H83"/>
      <c r="I83"/>
      <c r="J83"/>
      <c r="K83"/>
      <c r="L83" s="28"/>
      <c r="M83" s="28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5:53" ht="15" x14ac:dyDescent="0.25">
      <c r="E84" s="299"/>
      <c r="F84"/>
      <c r="G84"/>
      <c r="H84"/>
      <c r="I84"/>
      <c r="J84"/>
      <c r="K84"/>
      <c r="L84" s="28"/>
      <c r="M84" s="28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5:53" ht="15" x14ac:dyDescent="0.25">
      <c r="E85" s="299"/>
      <c r="F85"/>
      <c r="G85"/>
      <c r="H85"/>
      <c r="I85"/>
      <c r="J85"/>
      <c r="K85"/>
      <c r="L85" s="28"/>
      <c r="M85" s="28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5:53" ht="15" x14ac:dyDescent="0.25">
      <c r="E86" s="299"/>
      <c r="F86"/>
      <c r="G86"/>
      <c r="H86"/>
      <c r="I86"/>
      <c r="J86"/>
      <c r="K86"/>
      <c r="L86" s="28"/>
      <c r="M86" s="28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5:53" ht="15" x14ac:dyDescent="0.25">
      <c r="E87" s="299"/>
      <c r="F87"/>
      <c r="G87"/>
      <c r="H87"/>
      <c r="I87"/>
      <c r="J87"/>
      <c r="K87"/>
      <c r="L87" s="28"/>
      <c r="M87" s="28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5:53" ht="15" x14ac:dyDescent="0.25">
      <c r="E88" s="299"/>
      <c r="F88"/>
      <c r="G88"/>
      <c r="H88"/>
      <c r="I88"/>
      <c r="J88"/>
      <c r="K88"/>
      <c r="L88" s="28"/>
      <c r="M88" s="2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5:53" ht="15" x14ac:dyDescent="0.25">
      <c r="E89" s="299"/>
      <c r="F89"/>
      <c r="G89"/>
      <c r="H89"/>
      <c r="I89"/>
      <c r="J89"/>
      <c r="K89"/>
      <c r="L89" s="28"/>
      <c r="M89" s="28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5:53" ht="15" x14ac:dyDescent="0.25">
      <c r="E90" s="299"/>
      <c r="F90"/>
      <c r="G90"/>
      <c r="H90"/>
      <c r="I90"/>
      <c r="J90"/>
      <c r="K90"/>
      <c r="L90" s="28"/>
      <c r="M90" s="28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5:53" ht="15" x14ac:dyDescent="0.25">
      <c r="E91" s="299"/>
      <c r="F91"/>
      <c r="G91"/>
      <c r="H91"/>
      <c r="I91"/>
      <c r="J91"/>
      <c r="K91"/>
      <c r="L91" s="28"/>
      <c r="M91" s="28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5:53" ht="15" x14ac:dyDescent="0.25">
      <c r="E92" s="299"/>
      <c r="F92"/>
      <c r="G92"/>
      <c r="H92"/>
      <c r="I92"/>
      <c r="J92"/>
      <c r="K92"/>
      <c r="L92" s="28"/>
      <c r="M92" s="28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5:53" ht="15" x14ac:dyDescent="0.25">
      <c r="E93" s="299"/>
      <c r="F93"/>
      <c r="G93"/>
      <c r="H93"/>
      <c r="I93"/>
      <c r="J93"/>
      <c r="K93"/>
      <c r="L93" s="28"/>
      <c r="M93" s="28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5:53" ht="15" x14ac:dyDescent="0.25">
      <c r="E94" s="299"/>
      <c r="F94"/>
      <c r="G94"/>
      <c r="H94"/>
      <c r="I94"/>
      <c r="J94"/>
      <c r="K94"/>
      <c r="L94" s="28"/>
      <c r="M94" s="28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5:53" ht="15" x14ac:dyDescent="0.25">
      <c r="E95" s="299"/>
      <c r="F95"/>
      <c r="G95"/>
      <c r="H95"/>
      <c r="I95"/>
      <c r="J95"/>
      <c r="K95"/>
      <c r="L95" s="28"/>
      <c r="M95" s="28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5:53" ht="15" x14ac:dyDescent="0.25">
      <c r="E96" s="299"/>
      <c r="F96"/>
      <c r="G96"/>
      <c r="H96"/>
      <c r="I96"/>
      <c r="J96"/>
      <c r="K96"/>
      <c r="L96" s="28"/>
      <c r="M96" s="28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5:32" ht="15" x14ac:dyDescent="0.25">
      <c r="E97" s="299"/>
      <c r="F97"/>
      <c r="G97"/>
      <c r="H97"/>
      <c r="I97"/>
      <c r="J97"/>
      <c r="K97"/>
      <c r="L97" s="28"/>
      <c r="M97" s="28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5:32" ht="15" x14ac:dyDescent="0.25">
      <c r="E98" s="299"/>
      <c r="F98"/>
      <c r="G98"/>
      <c r="H98"/>
      <c r="I98"/>
      <c r="J98"/>
      <c r="K98"/>
      <c r="L98" s="28"/>
      <c r="M98" s="2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5:32" ht="15" x14ac:dyDescent="0.25">
      <c r="E99" s="299"/>
      <c r="F99"/>
      <c r="G99"/>
      <c r="H99"/>
      <c r="I99"/>
      <c r="J99"/>
      <c r="K99"/>
      <c r="L99" s="28"/>
      <c r="M99" s="28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5:32" ht="15" x14ac:dyDescent="0.25">
      <c r="E100" s="299"/>
      <c r="F100"/>
      <c r="G100"/>
      <c r="H100"/>
      <c r="I100"/>
      <c r="J100"/>
      <c r="K100"/>
      <c r="L100" s="28"/>
      <c r="M100" s="28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5:32" ht="15" x14ac:dyDescent="0.25">
      <c r="E101" s="299"/>
      <c r="F101"/>
      <c r="G101"/>
      <c r="H101"/>
      <c r="I101"/>
      <c r="J101"/>
      <c r="K101"/>
      <c r="L101" s="28"/>
      <c r="M101" s="28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5:32" ht="15" x14ac:dyDescent="0.25">
      <c r="E102" s="299"/>
      <c r="F102"/>
      <c r="G102"/>
      <c r="H102"/>
      <c r="I102"/>
      <c r="J102"/>
      <c r="K102"/>
      <c r="L102" s="28"/>
      <c r="M102" s="28"/>
      <c r="N102"/>
      <c r="O102"/>
      <c r="P102"/>
      <c r="Q102"/>
      <c r="R102"/>
      <c r="S102"/>
      <c r="T102"/>
      <c r="U102"/>
      <c r="V102"/>
    </row>
    <row r="103" spans="5:32" ht="15" x14ac:dyDescent="0.25">
      <c r="E103" s="299"/>
      <c r="F103"/>
      <c r="G103"/>
      <c r="H103"/>
      <c r="I103"/>
      <c r="J103"/>
      <c r="K103"/>
      <c r="L103" s="28"/>
      <c r="M103" s="28"/>
      <c r="N103"/>
      <c r="O103"/>
      <c r="P103"/>
      <c r="Q103"/>
      <c r="R103"/>
      <c r="S103"/>
      <c r="T103"/>
      <c r="U103"/>
      <c r="V103"/>
    </row>
    <row r="104" spans="5:32" ht="15" x14ac:dyDescent="0.25">
      <c r="E104" s="299"/>
      <c r="F104"/>
      <c r="G104"/>
      <c r="H104"/>
      <c r="I104"/>
      <c r="J104"/>
      <c r="K104"/>
      <c r="L104" s="28"/>
      <c r="M104" s="28"/>
      <c r="N104"/>
      <c r="O104"/>
      <c r="P104"/>
      <c r="Q104"/>
      <c r="R104"/>
      <c r="S104"/>
      <c r="T104"/>
      <c r="U104"/>
      <c r="V104"/>
    </row>
    <row r="105" spans="5:32" ht="15" x14ac:dyDescent="0.25">
      <c r="E105" s="299"/>
      <c r="F105"/>
      <c r="G105"/>
      <c r="H105"/>
      <c r="I105"/>
      <c r="J105"/>
      <c r="K105"/>
      <c r="L105" s="28"/>
      <c r="M105" s="28"/>
      <c r="N105"/>
      <c r="O105"/>
      <c r="P105"/>
      <c r="Q105"/>
      <c r="R105"/>
      <c r="S105"/>
      <c r="T105"/>
      <c r="U105"/>
      <c r="V105"/>
    </row>
    <row r="106" spans="5:32" ht="15" x14ac:dyDescent="0.25">
      <c r="E106" s="299"/>
      <c r="F106"/>
      <c r="G106"/>
      <c r="H106"/>
      <c r="I106"/>
      <c r="J106"/>
      <c r="K106"/>
      <c r="L106" s="28"/>
      <c r="M106" s="28"/>
      <c r="N106"/>
      <c r="O106"/>
      <c r="P106"/>
      <c r="Q106"/>
      <c r="R106"/>
      <c r="S106"/>
      <c r="T106"/>
      <c r="U106"/>
      <c r="V106"/>
    </row>
    <row r="107" spans="5:32" ht="15" x14ac:dyDescent="0.25">
      <c r="E107" s="299"/>
      <c r="F107"/>
      <c r="G107"/>
      <c r="H107"/>
      <c r="I107"/>
      <c r="J107"/>
      <c r="K107"/>
      <c r="L107" s="28"/>
      <c r="M107" s="28"/>
      <c r="N107"/>
      <c r="O107"/>
      <c r="P107"/>
      <c r="Q107"/>
      <c r="R107"/>
      <c r="S107"/>
      <c r="T107"/>
      <c r="U107"/>
      <c r="V107"/>
    </row>
    <row r="108" spans="5:32" ht="15" x14ac:dyDescent="0.25">
      <c r="E108" s="299"/>
      <c r="F108"/>
      <c r="G108"/>
      <c r="H108"/>
      <c r="I108"/>
      <c r="J108"/>
      <c r="K108"/>
      <c r="L108" s="28"/>
      <c r="M108" s="28"/>
      <c r="N108"/>
      <c r="O108"/>
      <c r="P108"/>
      <c r="Q108"/>
      <c r="R108"/>
      <c r="S108"/>
      <c r="T108"/>
      <c r="U108"/>
      <c r="V108"/>
    </row>
    <row r="109" spans="5:32" ht="15" x14ac:dyDescent="0.25">
      <c r="E109" s="299"/>
      <c r="F109"/>
      <c r="G109"/>
      <c r="H109"/>
      <c r="I109"/>
      <c r="J109"/>
      <c r="K109"/>
      <c r="L109" s="28"/>
      <c r="M109" s="28"/>
      <c r="N109"/>
      <c r="O109"/>
      <c r="P109"/>
      <c r="Q109"/>
      <c r="R109"/>
      <c r="S109"/>
      <c r="T109"/>
      <c r="U109"/>
      <c r="V109"/>
    </row>
    <row r="110" spans="5:32" ht="15" x14ac:dyDescent="0.25">
      <c r="E110" s="299"/>
      <c r="F110"/>
      <c r="G110"/>
      <c r="H110"/>
      <c r="I110"/>
      <c r="J110"/>
      <c r="K110"/>
      <c r="L110" s="28"/>
      <c r="M110" s="28"/>
      <c r="N110"/>
      <c r="O110"/>
    </row>
    <row r="111" spans="5:32" ht="15" x14ac:dyDescent="0.25">
      <c r="E111" s="299"/>
      <c r="F111"/>
      <c r="G111"/>
      <c r="H111"/>
      <c r="I111"/>
      <c r="J111"/>
      <c r="K111"/>
      <c r="L111" s="28"/>
      <c r="M111" s="28"/>
      <c r="N111"/>
      <c r="O111"/>
    </row>
    <row r="112" spans="5:32" ht="15" x14ac:dyDescent="0.25">
      <c r="E112" s="299"/>
      <c r="F112"/>
      <c r="G112"/>
      <c r="H112"/>
      <c r="I112"/>
      <c r="J112"/>
    </row>
    <row r="113" spans="5:10" ht="15" x14ac:dyDescent="0.25">
      <c r="E113" s="299"/>
      <c r="F113"/>
      <c r="G113"/>
      <c r="H113"/>
      <c r="I113"/>
      <c r="J113"/>
    </row>
    <row r="114" spans="5:10" ht="15" x14ac:dyDescent="0.25">
      <c r="E114" s="299"/>
      <c r="F114"/>
      <c r="G114"/>
      <c r="H114"/>
      <c r="I114"/>
      <c r="J114"/>
    </row>
    <row r="115" spans="5:10" ht="15" x14ac:dyDescent="0.25">
      <c r="E115" s="299"/>
      <c r="F115"/>
      <c r="G115"/>
      <c r="H115"/>
      <c r="I115"/>
      <c r="J115"/>
    </row>
    <row r="116" spans="5:10" ht="15" x14ac:dyDescent="0.25">
      <c r="E116" s="299"/>
      <c r="F116"/>
      <c r="G116"/>
      <c r="H116"/>
      <c r="I116"/>
      <c r="J116"/>
    </row>
    <row r="117" spans="5:10" ht="15" x14ac:dyDescent="0.25">
      <c r="E117" s="299"/>
      <c r="F117"/>
      <c r="G117"/>
      <c r="H117"/>
      <c r="I117"/>
      <c r="J117"/>
    </row>
    <row r="118" spans="5:10" ht="15" x14ac:dyDescent="0.25">
      <c r="E118" s="299"/>
      <c r="F118"/>
      <c r="G118"/>
      <c r="H118"/>
      <c r="I118"/>
      <c r="J118"/>
    </row>
    <row r="119" spans="5:10" ht="15" x14ac:dyDescent="0.25">
      <c r="E119" s="299"/>
      <c r="F119"/>
      <c r="G119"/>
      <c r="H119"/>
      <c r="I119"/>
      <c r="J119"/>
    </row>
    <row r="120" spans="5:10" ht="15" x14ac:dyDescent="0.25">
      <c r="E120" s="299"/>
      <c r="F120"/>
      <c r="G120"/>
      <c r="H120"/>
      <c r="I120"/>
      <c r="J120"/>
    </row>
    <row r="121" spans="5:10" ht="15" x14ac:dyDescent="0.25">
      <c r="E121" s="299"/>
      <c r="F121"/>
    </row>
    <row r="122" spans="5:10" ht="15" x14ac:dyDescent="0.25">
      <c r="E122" s="299"/>
      <c r="F122"/>
    </row>
    <row r="123" spans="5:10" ht="15" x14ac:dyDescent="0.25">
      <c r="E123" s="299"/>
      <c r="F123"/>
    </row>
    <row r="124" spans="5:10" ht="15" x14ac:dyDescent="0.25">
      <c r="E124" s="299"/>
      <c r="F124"/>
    </row>
    <row r="125" spans="5:10" ht="15" x14ac:dyDescent="0.25">
      <c r="E125" s="299"/>
      <c r="F125"/>
    </row>
    <row r="126" spans="5:10" ht="15" x14ac:dyDescent="0.25">
      <c r="E126" s="299"/>
      <c r="F126"/>
    </row>
    <row r="127" spans="5:10" ht="15" x14ac:dyDescent="0.25">
      <c r="E127" s="299"/>
      <c r="F127"/>
    </row>
    <row r="128" spans="5:10" ht="15" x14ac:dyDescent="0.25">
      <c r="E128" s="299"/>
      <c r="F128"/>
    </row>
    <row r="129" spans="5:6" ht="15" x14ac:dyDescent="0.25">
      <c r="E129" s="299"/>
      <c r="F129"/>
    </row>
    <row r="130" spans="5:6" ht="15" x14ac:dyDescent="0.25">
      <c r="E130" s="299"/>
      <c r="F130"/>
    </row>
    <row r="131" spans="5:6" ht="15" x14ac:dyDescent="0.25">
      <c r="E131" s="299"/>
      <c r="F131"/>
    </row>
    <row r="132" spans="5:6" ht="15" x14ac:dyDescent="0.25">
      <c r="E132" s="299"/>
      <c r="F132"/>
    </row>
    <row r="133" spans="5:6" ht="15" x14ac:dyDescent="0.25">
      <c r="E133" s="299"/>
      <c r="F133"/>
    </row>
    <row r="134" spans="5:6" ht="15" x14ac:dyDescent="0.25">
      <c r="E134" s="299"/>
      <c r="F134"/>
    </row>
    <row r="135" spans="5:6" ht="15" x14ac:dyDescent="0.25">
      <c r="E135" s="299"/>
      <c r="F135"/>
    </row>
    <row r="136" spans="5:6" ht="15" x14ac:dyDescent="0.25">
      <c r="E136" s="299"/>
      <c r="F136"/>
    </row>
    <row r="137" spans="5:6" ht="15" x14ac:dyDescent="0.25">
      <c r="E137" s="299"/>
      <c r="F137"/>
    </row>
    <row r="138" spans="5:6" ht="15" x14ac:dyDescent="0.25">
      <c r="E138" s="299"/>
      <c r="F138"/>
    </row>
    <row r="139" spans="5:6" ht="15" x14ac:dyDescent="0.25">
      <c r="E139" s="299"/>
      <c r="F139"/>
    </row>
    <row r="140" spans="5:6" ht="15" x14ac:dyDescent="0.25">
      <c r="E140" s="299"/>
      <c r="F140"/>
    </row>
    <row r="141" spans="5:6" ht="15" x14ac:dyDescent="0.25">
      <c r="E141" s="299"/>
      <c r="F141"/>
    </row>
    <row r="142" spans="5:6" ht="15" x14ac:dyDescent="0.25">
      <c r="E142" s="299"/>
      <c r="F142"/>
    </row>
    <row r="143" spans="5:6" ht="15" x14ac:dyDescent="0.25">
      <c r="E143" s="299"/>
      <c r="F143"/>
    </row>
    <row r="144" spans="5:6" ht="15" x14ac:dyDescent="0.25">
      <c r="E144" s="299"/>
      <c r="F144"/>
    </row>
    <row r="145" spans="5:6" ht="15" x14ac:dyDescent="0.25">
      <c r="E145" s="299"/>
      <c r="F145"/>
    </row>
  </sheetData>
  <autoFilter ref="A2:N15">
    <sortState ref="A3:L15">
      <sortCondition ref="C2:C15"/>
    </sortState>
  </autoFilter>
  <customSheetViews>
    <customSheetView guid="{6DFBCBA6-E327-48F2-941C-44ACD0154C7D}" scale="85" fitToPage="1" topLeftCell="C1">
      <selection activeCell="K9" sqref="K9"/>
      <pageMargins left="0.511811024" right="0.511811024" top="0.78740157499999996" bottom="0.78740157499999996" header="0.31496062000000002" footer="0.31496062000000002"/>
      <pageSetup paperSize="9" scale="45" fitToHeight="0" orientation="landscape" r:id="rId1"/>
    </customSheetView>
    <customSheetView guid="{9DA56328-1E02-4631-BF3A-66F8FD0B96FD}" scale="85" fitToPage="1" topLeftCell="C1">
      <selection activeCell="K9" sqref="K9"/>
      <pageMargins left="0.511811024" right="0.511811024" top="0.78740157499999996" bottom="0.78740157499999996" header="0.31496062000000002" footer="0.31496062000000002"/>
      <pageSetup paperSize="9" scale="45" fitToHeight="0" orientation="landscape" r:id="rId2"/>
    </customSheetView>
  </customSheetViews>
  <mergeCells count="2">
    <mergeCell ref="H1:N1"/>
    <mergeCell ref="C1:G1"/>
  </mergeCells>
  <pageMargins left="0.511811024" right="0.511811024" top="0.78740157499999996" bottom="0.78740157499999996" header="0.31496062000000002" footer="0.31496062000000002"/>
  <pageSetup paperSize="9" scale="41" fitToHeight="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opLeftCell="M28" zoomScaleNormal="100" workbookViewId="0">
      <selection activeCell="Q6" sqref="Q6:Q54"/>
    </sheetView>
  </sheetViews>
  <sheetFormatPr defaultRowHeight="50.1" customHeight="1" x14ac:dyDescent="0.25"/>
  <cols>
    <col min="1" max="1" width="11" style="2" customWidth="1"/>
    <col min="2" max="2" width="51.5703125" style="2" customWidth="1"/>
    <col min="3" max="3" width="10.85546875" style="2" customWidth="1"/>
    <col min="4" max="4" width="29" style="2" bestFit="1" customWidth="1"/>
    <col min="5" max="5" width="9.5703125" style="2" customWidth="1"/>
    <col min="6" max="6" width="130.7109375" style="2" customWidth="1"/>
    <col min="7" max="7" width="15.42578125" style="2" customWidth="1"/>
    <col min="8" max="8" width="14.85546875" style="10" customWidth="1"/>
    <col min="9" max="9" width="18.140625" style="10" customWidth="1"/>
    <col min="10" max="10" width="52.7109375" style="2" customWidth="1"/>
    <col min="11" max="11" width="26" style="2" customWidth="1"/>
    <col min="12" max="12" width="143.140625" style="2" customWidth="1"/>
    <col min="13" max="13" width="22.7109375" style="2" customWidth="1"/>
    <col min="14" max="14" width="24.5703125" style="2" customWidth="1"/>
    <col min="15" max="15" width="8.140625" style="2" bestFit="1" customWidth="1"/>
    <col min="16" max="16" width="49.42578125" style="2" bestFit="1" customWidth="1"/>
    <col min="17" max="17" width="47.28515625" style="2" customWidth="1"/>
    <col min="18" max="16384" width="9.140625" style="2"/>
  </cols>
  <sheetData>
    <row r="1" spans="1:17" ht="13.5" thickBot="1" x14ac:dyDescent="0.3">
      <c r="A1" s="2" t="s">
        <v>1105</v>
      </c>
    </row>
    <row r="2" spans="1:17" s="24" customFormat="1" ht="30" customHeight="1" thickBot="1" x14ac:dyDescent="0.3">
      <c r="A2" s="573" t="s">
        <v>695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</row>
    <row r="3" spans="1:17" s="24" customFormat="1" ht="30" customHeight="1" thickBot="1" x14ac:dyDescent="0.3">
      <c r="A3" s="576" t="s">
        <v>696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</row>
    <row r="4" spans="1:17" s="3" customFormat="1" ht="30" customHeight="1" thickBot="1" x14ac:dyDescent="0.3">
      <c r="A4" s="575" t="s">
        <v>364</v>
      </c>
      <c r="B4" s="575"/>
      <c r="C4" s="575"/>
      <c r="D4" s="575"/>
      <c r="E4" s="575"/>
      <c r="F4" s="26" t="s">
        <v>391</v>
      </c>
      <c r="G4" s="27" t="s">
        <v>392</v>
      </c>
      <c r="H4" s="575" t="s">
        <v>678</v>
      </c>
      <c r="I4" s="575"/>
      <c r="J4" s="577" t="s">
        <v>394</v>
      </c>
      <c r="K4" s="577"/>
      <c r="L4" s="577"/>
      <c r="M4" s="577"/>
      <c r="N4" s="577"/>
      <c r="O4" s="574" t="s">
        <v>767</v>
      </c>
      <c r="P4" s="574"/>
      <c r="Q4" s="574"/>
    </row>
    <row r="5" spans="1:17" ht="30" customHeight="1" thickBot="1" x14ac:dyDescent="0.3">
      <c r="A5" s="4" t="s">
        <v>680</v>
      </c>
      <c r="B5" s="4" t="s">
        <v>688</v>
      </c>
      <c r="C5" s="4" t="s">
        <v>686</v>
      </c>
      <c r="D5" s="4" t="s">
        <v>687</v>
      </c>
      <c r="E5" s="4" t="s">
        <v>395</v>
      </c>
      <c r="F5" s="4" t="s">
        <v>396</v>
      </c>
      <c r="G5" s="4" t="s">
        <v>397</v>
      </c>
      <c r="H5" s="4" t="s">
        <v>398</v>
      </c>
      <c r="I5" s="25" t="s">
        <v>393</v>
      </c>
      <c r="J5" s="4" t="s">
        <v>399</v>
      </c>
      <c r="K5" s="4" t="s">
        <v>400</v>
      </c>
      <c r="L5" s="4" t="s">
        <v>401</v>
      </c>
      <c r="M5" s="4" t="s">
        <v>402</v>
      </c>
      <c r="N5" s="4" t="s">
        <v>403</v>
      </c>
      <c r="O5" s="5" t="s">
        <v>679</v>
      </c>
      <c r="P5" s="5" t="s">
        <v>2</v>
      </c>
      <c r="Q5" s="204" t="s">
        <v>291</v>
      </c>
    </row>
    <row r="6" spans="1:17" ht="60" customHeight="1" thickBot="1" x14ac:dyDescent="0.3">
      <c r="A6" s="6" t="s">
        <v>682</v>
      </c>
      <c r="B6" s="6" t="s">
        <v>420</v>
      </c>
      <c r="C6" s="9" t="s">
        <v>429</v>
      </c>
      <c r="D6" s="8" t="s">
        <v>430</v>
      </c>
      <c r="E6" s="20" t="s">
        <v>444</v>
      </c>
      <c r="F6" s="11" t="s">
        <v>445</v>
      </c>
      <c r="G6" s="12" t="s">
        <v>425</v>
      </c>
      <c r="H6" s="15" t="s">
        <v>410</v>
      </c>
      <c r="I6" s="16">
        <v>0</v>
      </c>
      <c r="J6" s="12" t="s">
        <v>446</v>
      </c>
      <c r="K6" s="12" t="s">
        <v>427</v>
      </c>
      <c r="L6" s="12" t="s">
        <v>447</v>
      </c>
      <c r="M6" s="12" t="s">
        <v>414</v>
      </c>
      <c r="N6" s="12" t="s">
        <v>434</v>
      </c>
      <c r="O6" s="22" t="s">
        <v>30</v>
      </c>
      <c r="P6" s="203" t="str">
        <f>CONCATENATE(UPPER(VLOOKUP(O6,'2-Inventário de Necessidades'!$A$2:$C$63,2,0))," - ",VLOOKUP(O6,'2-Inventário de Necessidades'!$A$2:$C$63,3,0))</f>
        <v>SISTEMAS DE INFORMAÇÃO - Desenvolvimento de solução de sistematização e consolidação de normas e jurisprudência</v>
      </c>
      <c r="Q6" s="205"/>
    </row>
    <row r="7" spans="1:17" ht="60" customHeight="1" thickBot="1" x14ac:dyDescent="0.3">
      <c r="A7" s="6" t="s">
        <v>684</v>
      </c>
      <c r="B7" s="6" t="s">
        <v>457</v>
      </c>
      <c r="C7" s="9" t="s">
        <v>458</v>
      </c>
      <c r="D7" s="8" t="s">
        <v>459</v>
      </c>
      <c r="E7" s="20" t="s">
        <v>470</v>
      </c>
      <c r="F7" s="11" t="s">
        <v>471</v>
      </c>
      <c r="G7" s="12" t="s">
        <v>462</v>
      </c>
      <c r="H7" s="15" t="s">
        <v>410</v>
      </c>
      <c r="I7" s="16">
        <v>0</v>
      </c>
      <c r="J7" s="12"/>
      <c r="K7" s="11" t="s">
        <v>427</v>
      </c>
      <c r="L7" s="11" t="s">
        <v>472</v>
      </c>
      <c r="M7" s="11" t="s">
        <v>414</v>
      </c>
      <c r="N7" s="11" t="s">
        <v>419</v>
      </c>
      <c r="O7" s="22" t="s">
        <v>911</v>
      </c>
      <c r="P7" s="203" t="str">
        <f>CONCATENATE(UPPER(VLOOKUP(O7,'2-Inventário de Necessidades'!$A$2:$C$63,2,0))," - ",VLOOKUP(O7,'2-Inventário de Necessidades'!$A$2:$C$63,3,0))</f>
        <v>SISTEMAS DE INFORMAÇÃO - Prover solução de gestão corporativa de riscos (MMD)</v>
      </c>
      <c r="Q7" s="205" t="s">
        <v>917</v>
      </c>
    </row>
    <row r="8" spans="1:17" ht="50.1" customHeight="1" thickBot="1" x14ac:dyDescent="0.3">
      <c r="A8" s="6" t="s">
        <v>531</v>
      </c>
      <c r="B8" s="6" t="s">
        <v>532</v>
      </c>
      <c r="C8" s="9" t="s">
        <v>555</v>
      </c>
      <c r="D8" s="8" t="s">
        <v>556</v>
      </c>
      <c r="E8" s="20" t="s">
        <v>562</v>
      </c>
      <c r="F8" s="11" t="s">
        <v>563</v>
      </c>
      <c r="G8" s="12" t="s">
        <v>564</v>
      </c>
      <c r="H8" s="15" t="s">
        <v>410</v>
      </c>
      <c r="I8" s="16">
        <v>0</v>
      </c>
      <c r="J8" s="12" t="s">
        <v>565</v>
      </c>
      <c r="K8" s="12" t="s">
        <v>412</v>
      </c>
      <c r="L8" s="12" t="s">
        <v>566</v>
      </c>
      <c r="M8" s="12" t="s">
        <v>414</v>
      </c>
      <c r="N8" s="12" t="s">
        <v>456</v>
      </c>
      <c r="O8" s="22" t="s">
        <v>912</v>
      </c>
      <c r="P8" s="203" t="str">
        <f>CONCATENATE(UPPER(VLOOKUP(O8,'2-Inventário de Necessidades'!$A$2:$C$63,2,0))," - ",VLOOKUP(O8,'2-Inventário de Necessidades'!$A$2:$C$63,3,0))</f>
        <v>SISTEMAS DE INFORMAÇÃO - Prover solução para gestão de convênios (MMD)</v>
      </c>
      <c r="Q8" s="205" t="s">
        <v>917</v>
      </c>
    </row>
    <row r="9" spans="1:17" ht="50.1" customHeight="1" thickBot="1" x14ac:dyDescent="0.3">
      <c r="A9" s="6" t="s">
        <v>662</v>
      </c>
      <c r="B9" s="6" t="s">
        <v>663</v>
      </c>
      <c r="C9" s="9" t="s">
        <v>665</v>
      </c>
      <c r="D9" s="8" t="s">
        <v>666</v>
      </c>
      <c r="E9" s="20" t="s">
        <v>667</v>
      </c>
      <c r="F9" s="11" t="s">
        <v>668</v>
      </c>
      <c r="G9" s="12" t="s">
        <v>664</v>
      </c>
      <c r="H9" s="15" t="s">
        <v>410</v>
      </c>
      <c r="I9" s="16">
        <v>0</v>
      </c>
      <c r="J9" s="12" t="s">
        <v>669</v>
      </c>
      <c r="K9" s="18" t="s">
        <v>427</v>
      </c>
      <c r="L9" s="18" t="s">
        <v>670</v>
      </c>
      <c r="M9" s="18" t="s">
        <v>671</v>
      </c>
      <c r="N9" s="18" t="s">
        <v>477</v>
      </c>
      <c r="O9" s="22" t="s">
        <v>913</v>
      </c>
      <c r="P9" s="203" t="str">
        <f>CONCATENATE(UPPER(VLOOKUP(O9,'2-Inventário de Necessidades'!$A$2:$C$63,2,0))," - ",VLOOKUP(O9,'2-Inventário de Necessidades'!$A$2:$C$63,3,0))</f>
        <v>SISTEMAS DE INFORMAÇÃO - Aprimoramento de serviços para atender quesitos de transparência propostos pela ENCCLA, bem como o cumprimento integral da LAI estadual e federal</v>
      </c>
      <c r="Q9" s="205" t="s">
        <v>917</v>
      </c>
    </row>
    <row r="10" spans="1:17" ht="50.1" customHeight="1" thickBot="1" x14ac:dyDescent="0.3">
      <c r="A10" s="6" t="s">
        <v>662</v>
      </c>
      <c r="B10" s="6" t="s">
        <v>663</v>
      </c>
      <c r="C10" s="9" t="s">
        <v>672</v>
      </c>
      <c r="D10" s="8" t="s">
        <v>673</v>
      </c>
      <c r="E10" s="20" t="s">
        <v>674</v>
      </c>
      <c r="F10" s="11" t="s">
        <v>675</v>
      </c>
      <c r="G10" s="12" t="s">
        <v>664</v>
      </c>
      <c r="H10" s="15" t="s">
        <v>410</v>
      </c>
      <c r="I10" s="16">
        <v>0</v>
      </c>
      <c r="J10" s="12" t="s">
        <v>676</v>
      </c>
      <c r="K10" s="18" t="s">
        <v>508</v>
      </c>
      <c r="L10" s="18" t="s">
        <v>677</v>
      </c>
      <c r="M10" s="18" t="s">
        <v>414</v>
      </c>
      <c r="N10" s="18" t="s">
        <v>434</v>
      </c>
      <c r="O10" s="22" t="s">
        <v>913</v>
      </c>
      <c r="P10" s="203" t="str">
        <f>CONCATENATE(UPPER(VLOOKUP(O10,'2-Inventário de Necessidades'!$A$2:$C$63,2,0))," - ",VLOOKUP(O10,'2-Inventário de Necessidades'!$A$2:$C$63,3,0))</f>
        <v>SISTEMAS DE INFORMAÇÃO - Aprimoramento de serviços para atender quesitos de transparência propostos pela ENCCLA, bem como o cumprimento integral da LAI estadual e federal</v>
      </c>
      <c r="Q10" s="205" t="s">
        <v>917</v>
      </c>
    </row>
    <row r="11" spans="1:17" ht="50.1" customHeight="1" thickBot="1" x14ac:dyDescent="0.3">
      <c r="A11" s="6" t="s">
        <v>689</v>
      </c>
      <c r="B11" s="6" t="s">
        <v>404</v>
      </c>
      <c r="C11" s="7" t="s">
        <v>405</v>
      </c>
      <c r="D11" s="8" t="s">
        <v>406</v>
      </c>
      <c r="E11" s="19" t="s">
        <v>407</v>
      </c>
      <c r="F11" s="11" t="s">
        <v>408</v>
      </c>
      <c r="G11" s="12" t="s">
        <v>409</v>
      </c>
      <c r="H11" s="13" t="s">
        <v>410</v>
      </c>
      <c r="I11" s="14"/>
      <c r="J11" s="11" t="s">
        <v>411</v>
      </c>
      <c r="K11" s="11" t="s">
        <v>412</v>
      </c>
      <c r="L11" s="11" t="s">
        <v>413</v>
      </c>
      <c r="M11" s="11" t="s">
        <v>414</v>
      </c>
      <c r="N11" s="11" t="s">
        <v>415</v>
      </c>
      <c r="O11" s="23" t="s">
        <v>97</v>
      </c>
      <c r="P11" s="203" t="str">
        <f>CONCATENATE(UPPER(VLOOKUP(O11,'2-Inventário de Necessidades'!$A$2:$C$63,2,0))," - ",VLOOKUP(O11,'2-Inventário de Necessidades'!$A$2:$C$63,3,0))</f>
        <v>SISTEMAS DE INFORMAÇÃO - Adequação dos sistemas do TCE-GO para viabilizar que os Conselheiros substitutos relatem processos</v>
      </c>
      <c r="Q11" s="206"/>
    </row>
    <row r="12" spans="1:17" ht="50.1" customHeight="1" thickBot="1" x14ac:dyDescent="0.3">
      <c r="A12" s="6" t="s">
        <v>689</v>
      </c>
      <c r="B12" s="6" t="s">
        <v>404</v>
      </c>
      <c r="C12" s="7" t="s">
        <v>405</v>
      </c>
      <c r="D12" s="8" t="s">
        <v>406</v>
      </c>
      <c r="E12" s="19" t="s">
        <v>416</v>
      </c>
      <c r="F12" s="11" t="s">
        <v>417</v>
      </c>
      <c r="G12" s="12" t="s">
        <v>409</v>
      </c>
      <c r="H12" s="13" t="s">
        <v>410</v>
      </c>
      <c r="I12" s="14"/>
      <c r="J12" s="11" t="s">
        <v>418</v>
      </c>
      <c r="K12" s="12" t="s">
        <v>412</v>
      </c>
      <c r="L12" s="11" t="s">
        <v>413</v>
      </c>
      <c r="M12" s="12" t="s">
        <v>414</v>
      </c>
      <c r="N12" s="12" t="s">
        <v>419</v>
      </c>
      <c r="O12" s="23" t="s">
        <v>97</v>
      </c>
      <c r="P12" s="203" t="str">
        <f>CONCATENATE(UPPER(VLOOKUP(O12,'2-Inventário de Necessidades'!$A$2:$C$63,2,0))," - ",VLOOKUP(O12,'2-Inventário de Necessidades'!$A$2:$C$63,3,0))</f>
        <v>SISTEMAS DE INFORMAÇÃO - Adequação dos sistemas do TCE-GO para viabilizar que os Conselheiros substitutos relatem processos</v>
      </c>
      <c r="Q12" s="206"/>
    </row>
    <row r="13" spans="1:17" ht="50.1" customHeight="1" thickBot="1" x14ac:dyDescent="0.3">
      <c r="A13" s="6" t="s">
        <v>682</v>
      </c>
      <c r="B13" s="6" t="s">
        <v>420</v>
      </c>
      <c r="C13" s="9" t="s">
        <v>421</v>
      </c>
      <c r="D13" s="8" t="s">
        <v>422</v>
      </c>
      <c r="E13" s="20" t="s">
        <v>423</v>
      </c>
      <c r="F13" s="11" t="s">
        <v>424</v>
      </c>
      <c r="G13" s="12" t="s">
        <v>425</v>
      </c>
      <c r="H13" s="15" t="s">
        <v>410</v>
      </c>
      <c r="I13" s="16">
        <v>0</v>
      </c>
      <c r="J13" s="12" t="s">
        <v>426</v>
      </c>
      <c r="K13" s="12" t="s">
        <v>427</v>
      </c>
      <c r="L13" s="12" t="s">
        <v>428</v>
      </c>
      <c r="M13" s="12" t="s">
        <v>414</v>
      </c>
      <c r="N13" s="12" t="s">
        <v>415</v>
      </c>
      <c r="O13" s="23" t="s">
        <v>30</v>
      </c>
      <c r="P13" s="203" t="str">
        <f>CONCATENATE(UPPER(VLOOKUP(O13,'2-Inventário de Necessidades'!$A$2:$C$63,2,0))," - ",VLOOKUP(O13,'2-Inventário de Necessidades'!$A$2:$C$63,3,0))</f>
        <v>SISTEMAS DE INFORMAÇÃO - Desenvolvimento de solução de sistematização e consolidação de normas e jurisprudência</v>
      </c>
      <c r="Q13" s="206"/>
    </row>
    <row r="14" spans="1:17" ht="50.1" customHeight="1" thickBot="1" x14ac:dyDescent="0.3">
      <c r="A14" s="6" t="s">
        <v>682</v>
      </c>
      <c r="B14" s="6" t="s">
        <v>420</v>
      </c>
      <c r="C14" s="9" t="s">
        <v>429</v>
      </c>
      <c r="D14" s="8" t="s">
        <v>430</v>
      </c>
      <c r="E14" s="20" t="s">
        <v>431</v>
      </c>
      <c r="F14" s="11" t="s">
        <v>432</v>
      </c>
      <c r="G14" s="12" t="s">
        <v>425</v>
      </c>
      <c r="H14" s="15" t="s">
        <v>410</v>
      </c>
      <c r="I14" s="16">
        <v>0</v>
      </c>
      <c r="J14" s="12" t="s">
        <v>681</v>
      </c>
      <c r="K14" s="12" t="s">
        <v>427</v>
      </c>
      <c r="L14" s="12" t="s">
        <v>433</v>
      </c>
      <c r="M14" s="12" t="s">
        <v>414</v>
      </c>
      <c r="N14" s="12" t="s">
        <v>434</v>
      </c>
      <c r="O14" s="23" t="s">
        <v>30</v>
      </c>
      <c r="P14" s="203" t="str">
        <f>CONCATENATE(UPPER(VLOOKUP(O14,'2-Inventário de Necessidades'!$A$2:$C$63,2,0))," - ",VLOOKUP(O14,'2-Inventário de Necessidades'!$A$2:$C$63,3,0))</f>
        <v>SISTEMAS DE INFORMAÇÃO - Desenvolvimento de solução de sistematização e consolidação de normas e jurisprudência</v>
      </c>
      <c r="Q14" s="206"/>
    </row>
    <row r="15" spans="1:17" ht="50.1" customHeight="1" thickBot="1" x14ac:dyDescent="0.3">
      <c r="A15" s="6" t="s">
        <v>682</v>
      </c>
      <c r="B15" s="6" t="s">
        <v>420</v>
      </c>
      <c r="C15" s="9" t="s">
        <v>429</v>
      </c>
      <c r="D15" s="8" t="s">
        <v>430</v>
      </c>
      <c r="E15" s="20" t="s">
        <v>435</v>
      </c>
      <c r="F15" s="11" t="s">
        <v>436</v>
      </c>
      <c r="G15" s="12" t="s">
        <v>425</v>
      </c>
      <c r="H15" s="15" t="s">
        <v>410</v>
      </c>
      <c r="I15" s="16">
        <v>0</v>
      </c>
      <c r="J15" s="12" t="s">
        <v>437</v>
      </c>
      <c r="K15" s="12" t="s">
        <v>427</v>
      </c>
      <c r="L15" s="12" t="s">
        <v>438</v>
      </c>
      <c r="M15" s="12" t="s">
        <v>439</v>
      </c>
      <c r="N15" s="12" t="s">
        <v>415</v>
      </c>
      <c r="O15" s="23" t="s">
        <v>30</v>
      </c>
      <c r="P15" s="203" t="str">
        <f>CONCATENATE(UPPER(VLOOKUP(O15,'2-Inventário de Necessidades'!$A$2:$C$63,2,0))," - ",VLOOKUP(O15,'2-Inventário de Necessidades'!$A$2:$C$63,3,0))</f>
        <v>SISTEMAS DE INFORMAÇÃO - Desenvolvimento de solução de sistematização e consolidação de normas e jurisprudência</v>
      </c>
      <c r="Q15" s="206"/>
    </row>
    <row r="16" spans="1:17" ht="50.1" customHeight="1" thickBot="1" x14ac:dyDescent="0.3">
      <c r="A16" s="6" t="s">
        <v>682</v>
      </c>
      <c r="B16" s="6" t="s">
        <v>420</v>
      </c>
      <c r="C16" s="9" t="s">
        <v>429</v>
      </c>
      <c r="D16" s="8" t="s">
        <v>430</v>
      </c>
      <c r="E16" s="20" t="s">
        <v>440</v>
      </c>
      <c r="F16" s="11" t="s">
        <v>441</v>
      </c>
      <c r="G16" s="12" t="s">
        <v>425</v>
      </c>
      <c r="H16" s="15" t="s">
        <v>410</v>
      </c>
      <c r="I16" s="16">
        <v>0</v>
      </c>
      <c r="J16" s="12" t="s">
        <v>442</v>
      </c>
      <c r="K16" s="12" t="s">
        <v>427</v>
      </c>
      <c r="L16" s="12" t="s">
        <v>443</v>
      </c>
      <c r="M16" s="12" t="s">
        <v>414</v>
      </c>
      <c r="N16" s="12" t="s">
        <v>415</v>
      </c>
      <c r="O16" s="23" t="s">
        <v>30</v>
      </c>
      <c r="P16" s="203" t="str">
        <f>CONCATENATE(UPPER(VLOOKUP(O16,'2-Inventário de Necessidades'!$A$2:$C$63,2,0))," - ",VLOOKUP(O16,'2-Inventário de Necessidades'!$A$2:$C$63,3,0))</f>
        <v>SISTEMAS DE INFORMAÇÃO - Desenvolvimento de solução de sistematização e consolidação de normas e jurisprudência</v>
      </c>
      <c r="Q16" s="206"/>
    </row>
    <row r="17" spans="1:17" ht="50.1" customHeight="1" thickBot="1" x14ac:dyDescent="0.3">
      <c r="A17" s="6" t="s">
        <v>683</v>
      </c>
      <c r="B17" s="6" t="s">
        <v>448</v>
      </c>
      <c r="C17" s="9" t="s">
        <v>449</v>
      </c>
      <c r="D17" s="8" t="s">
        <v>450</v>
      </c>
      <c r="E17" s="20" t="s">
        <v>451</v>
      </c>
      <c r="F17" s="11" t="s">
        <v>452</v>
      </c>
      <c r="G17" s="12" t="s">
        <v>453</v>
      </c>
      <c r="H17" s="15" t="s">
        <v>410</v>
      </c>
      <c r="I17" s="16">
        <v>0</v>
      </c>
      <c r="J17" s="12" t="s">
        <v>454</v>
      </c>
      <c r="K17" s="11" t="s">
        <v>427</v>
      </c>
      <c r="L17" s="11" t="s">
        <v>455</v>
      </c>
      <c r="M17" s="11" t="s">
        <v>414</v>
      </c>
      <c r="N17" s="11" t="s">
        <v>456</v>
      </c>
      <c r="O17" s="23" t="s">
        <v>94</v>
      </c>
      <c r="P17" s="203" t="str">
        <f>CONCATENATE(UPPER(VLOOKUP(O17,'2-Inventário de Necessidades'!$A$2:$C$63,2,0))," - ",VLOOKUP(O17,'2-Inventário de Necessidades'!$A$2:$C$63,3,0))</f>
        <v>SISTEMAS DE INFORMAÇÃO - Viabilizar solução de monitoramento de tramitação de autos processuais e produção de documentos</v>
      </c>
      <c r="Q17" s="206"/>
    </row>
    <row r="18" spans="1:17" ht="50.1" customHeight="1" thickBot="1" x14ac:dyDescent="0.3">
      <c r="A18" s="6" t="s">
        <v>683</v>
      </c>
      <c r="B18" s="6" t="s">
        <v>457</v>
      </c>
      <c r="C18" s="9" t="s">
        <v>458</v>
      </c>
      <c r="D18" s="8" t="s">
        <v>459</v>
      </c>
      <c r="E18" s="20" t="s">
        <v>465</v>
      </c>
      <c r="F18" s="11" t="s">
        <v>466</v>
      </c>
      <c r="G18" s="12" t="s">
        <v>462</v>
      </c>
      <c r="H18" s="15" t="s">
        <v>467</v>
      </c>
      <c r="I18" s="16">
        <v>1</v>
      </c>
      <c r="J18" s="12" t="s">
        <v>468</v>
      </c>
      <c r="K18" s="11" t="s">
        <v>427</v>
      </c>
      <c r="L18" s="11" t="s">
        <v>469</v>
      </c>
      <c r="M18" s="11" t="s">
        <v>464</v>
      </c>
      <c r="N18" s="11" t="s">
        <v>434</v>
      </c>
      <c r="O18" s="22" t="s">
        <v>284</v>
      </c>
      <c r="P18" s="203" t="str">
        <f>CONCATENATE(UPPER(VLOOKUP(O18,'2-Inventário de Necessidades'!$A$2:$C$63,2,0))," - ",VLOOKUP(O18,'2-Inventário de Necessidades'!$A$2:$C$63,3,0))</f>
        <v>SERVIÇOS DE TI - Ajustar sistemas internos às necessidades do usuários.</v>
      </c>
      <c r="Q18" s="205"/>
    </row>
    <row r="19" spans="1:17" ht="50.1" customHeight="1" thickBot="1" x14ac:dyDescent="0.3">
      <c r="A19" s="6" t="s">
        <v>684</v>
      </c>
      <c r="B19" s="6" t="s">
        <v>457</v>
      </c>
      <c r="C19" s="9" t="s">
        <v>458</v>
      </c>
      <c r="D19" s="8" t="s">
        <v>459</v>
      </c>
      <c r="E19" s="20" t="s">
        <v>473</v>
      </c>
      <c r="F19" s="11" t="s">
        <v>474</v>
      </c>
      <c r="G19" s="12" t="s">
        <v>462</v>
      </c>
      <c r="H19" s="15" t="s">
        <v>467</v>
      </c>
      <c r="I19" s="16">
        <v>1</v>
      </c>
      <c r="J19" s="12" t="s">
        <v>475</v>
      </c>
      <c r="K19" s="11" t="s">
        <v>427</v>
      </c>
      <c r="L19" s="11" t="s">
        <v>476</v>
      </c>
      <c r="M19" s="11" t="s">
        <v>439</v>
      </c>
      <c r="N19" s="11" t="s">
        <v>477</v>
      </c>
      <c r="O19" s="22" t="s">
        <v>284</v>
      </c>
      <c r="P19" s="203" t="str">
        <f>CONCATENATE(UPPER(VLOOKUP(O19,'2-Inventário de Necessidades'!$A$2:$C$63,2,0))," - ",VLOOKUP(O19,'2-Inventário de Necessidades'!$A$2:$C$63,3,0))</f>
        <v>SERVIÇOS DE TI - Ajustar sistemas internos às necessidades do usuários.</v>
      </c>
      <c r="Q19" s="205"/>
    </row>
    <row r="20" spans="1:17" ht="50.1" customHeight="1" thickBot="1" x14ac:dyDescent="0.3">
      <c r="A20" s="6" t="s">
        <v>684</v>
      </c>
      <c r="B20" s="6" t="s">
        <v>457</v>
      </c>
      <c r="C20" s="9" t="s">
        <v>458</v>
      </c>
      <c r="D20" s="8" t="s">
        <v>459</v>
      </c>
      <c r="E20" s="20" t="s">
        <v>478</v>
      </c>
      <c r="F20" s="11" t="s">
        <v>479</v>
      </c>
      <c r="G20" s="12" t="s">
        <v>462</v>
      </c>
      <c r="H20" s="15" t="s">
        <v>467</v>
      </c>
      <c r="I20" s="16">
        <v>1</v>
      </c>
      <c r="J20" s="12" t="s">
        <v>480</v>
      </c>
      <c r="K20" s="11" t="s">
        <v>427</v>
      </c>
      <c r="L20" s="11" t="s">
        <v>481</v>
      </c>
      <c r="M20" s="11" t="s">
        <v>439</v>
      </c>
      <c r="N20" s="11" t="s">
        <v>477</v>
      </c>
      <c r="O20" s="22" t="s">
        <v>284</v>
      </c>
      <c r="P20" s="203" t="str">
        <f>CONCATENATE(UPPER(VLOOKUP(O20,'2-Inventário de Necessidades'!$A$2:$C$63,2,0))," - ",VLOOKUP(O20,'2-Inventário de Necessidades'!$A$2:$C$63,3,0))</f>
        <v>SERVIÇOS DE TI - Ajustar sistemas internos às necessidades do usuários.</v>
      </c>
      <c r="Q20" s="205"/>
    </row>
    <row r="21" spans="1:17" ht="50.1" customHeight="1" thickBot="1" x14ac:dyDescent="0.3">
      <c r="A21" s="6" t="s">
        <v>684</v>
      </c>
      <c r="B21" s="6" t="s">
        <v>457</v>
      </c>
      <c r="C21" s="9" t="s">
        <v>458</v>
      </c>
      <c r="D21" s="8" t="s">
        <v>459</v>
      </c>
      <c r="E21" s="20" t="s">
        <v>460</v>
      </c>
      <c r="F21" s="11" t="s">
        <v>461</v>
      </c>
      <c r="G21" s="12" t="s">
        <v>462</v>
      </c>
      <c r="H21" s="15" t="s">
        <v>410</v>
      </c>
      <c r="I21" s="16">
        <v>0</v>
      </c>
      <c r="J21" s="12"/>
      <c r="K21" s="11" t="s">
        <v>427</v>
      </c>
      <c r="L21" s="11" t="s">
        <v>463</v>
      </c>
      <c r="M21" s="11" t="s">
        <v>464</v>
      </c>
      <c r="N21" s="11" t="s">
        <v>434</v>
      </c>
      <c r="O21" s="22" t="s">
        <v>120</v>
      </c>
      <c r="P21" s="203" t="str">
        <f>CONCATENATE(UPPER(VLOOKUP(O21,'2-Inventário de Necessidades'!$A$2:$C$63,2,0))," - ",VLOOKUP(O21,'2-Inventário de Necessidades'!$A$2:$C$63,3,0))</f>
        <v>SISTEMAS DE INFORMAÇÃO - Prover canal de comunicação para que os servidores e cidadãos informem suspeitas de irregularidades</v>
      </c>
      <c r="Q21" s="206" t="s">
        <v>691</v>
      </c>
    </row>
    <row r="22" spans="1:17" ht="50.1" customHeight="1" thickBot="1" x14ac:dyDescent="0.3">
      <c r="A22" s="6" t="s">
        <v>685</v>
      </c>
      <c r="B22" s="6" t="s">
        <v>482</v>
      </c>
      <c r="C22" s="9" t="s">
        <v>483</v>
      </c>
      <c r="D22" s="8" t="s">
        <v>484</v>
      </c>
      <c r="E22" s="20" t="s">
        <v>485</v>
      </c>
      <c r="F22" s="11" t="s">
        <v>486</v>
      </c>
      <c r="G22" s="12" t="s">
        <v>487</v>
      </c>
      <c r="H22" s="15" t="s">
        <v>467</v>
      </c>
      <c r="I22" s="16">
        <v>1</v>
      </c>
      <c r="J22" s="12" t="s">
        <v>488</v>
      </c>
      <c r="K22" s="12" t="s">
        <v>412</v>
      </c>
      <c r="L22" s="12" t="s">
        <v>489</v>
      </c>
      <c r="M22" s="12" t="s">
        <v>439</v>
      </c>
      <c r="N22" s="12" t="s">
        <v>477</v>
      </c>
      <c r="O22" s="23" t="s">
        <v>134</v>
      </c>
      <c r="P22" s="203" t="str">
        <f>CONCATENATE(UPPER(VLOOKUP(O22,'2-Inventário de Necessidades'!$A$2:$C$63,2,0))," - ",VLOOKUP(O22,'2-Inventário de Necessidades'!$A$2:$C$63,3,0))</f>
        <v>GOVERNANÇA E GESTÃO DE TI - Criação e publicação de normativo estabelecendo as competências das unidades de TI</v>
      </c>
      <c r="Q22" s="206"/>
    </row>
    <row r="23" spans="1:17" ht="50.1" customHeight="1" thickBot="1" x14ac:dyDescent="0.3">
      <c r="A23" s="6" t="s">
        <v>685</v>
      </c>
      <c r="B23" s="6" t="s">
        <v>482</v>
      </c>
      <c r="C23" s="9" t="s">
        <v>483</v>
      </c>
      <c r="D23" s="8" t="s">
        <v>484</v>
      </c>
      <c r="E23" s="20" t="s">
        <v>490</v>
      </c>
      <c r="F23" s="11" t="s">
        <v>491</v>
      </c>
      <c r="G23" s="12" t="s">
        <v>487</v>
      </c>
      <c r="H23" s="15" t="s">
        <v>467</v>
      </c>
      <c r="I23" s="16">
        <v>1</v>
      </c>
      <c r="J23" s="12" t="s">
        <v>492</v>
      </c>
      <c r="K23" s="12" t="s">
        <v>412</v>
      </c>
      <c r="L23" s="12" t="s">
        <v>493</v>
      </c>
      <c r="M23" s="12" t="s">
        <v>464</v>
      </c>
      <c r="N23" s="12" t="s">
        <v>434</v>
      </c>
      <c r="O23" s="23" t="s">
        <v>83</v>
      </c>
      <c r="P23" s="203" t="str">
        <f>CONCATENATE(UPPER(VLOOKUP(O23,'2-Inventário de Necessidades'!$A$2:$C$63,2,0))," - ",VLOOKUP(O23,'2-Inventário de Necessidades'!$A$2:$C$63,3,0))</f>
        <v>GOVERNANÇA E GESTÃO DE TI - Implantação da Gestão de Segurança da Informação</v>
      </c>
      <c r="Q23" s="206"/>
    </row>
    <row r="24" spans="1:17" ht="50.1" customHeight="1" thickBot="1" x14ac:dyDescent="0.3">
      <c r="A24" s="6" t="s">
        <v>685</v>
      </c>
      <c r="B24" s="6" t="s">
        <v>482</v>
      </c>
      <c r="C24" s="9" t="s">
        <v>494</v>
      </c>
      <c r="D24" s="8" t="s">
        <v>495</v>
      </c>
      <c r="E24" s="20" t="s">
        <v>496</v>
      </c>
      <c r="F24" s="11" t="s">
        <v>497</v>
      </c>
      <c r="G24" s="12" t="s">
        <v>487</v>
      </c>
      <c r="H24" s="15" t="s">
        <v>410</v>
      </c>
      <c r="I24" s="16">
        <v>0</v>
      </c>
      <c r="J24" s="12"/>
      <c r="K24" s="12" t="s">
        <v>412</v>
      </c>
      <c r="L24" s="12" t="s">
        <v>498</v>
      </c>
      <c r="M24" s="12" t="s">
        <v>414</v>
      </c>
      <c r="N24" s="12" t="s">
        <v>415</v>
      </c>
      <c r="O24" s="23" t="s">
        <v>47</v>
      </c>
      <c r="P24" s="203" t="str">
        <f>CONCATENATE(UPPER(VLOOKUP(O24,'2-Inventário de Necessidades'!$A$2:$C$63,2,0))," - ",VLOOKUP(O24,'2-Inventário de Necessidades'!$A$2:$C$63,3,0))</f>
        <v>GOVERNANÇA E GESTÃO DE TI - Implantação de Comitê Estratégico de TI</v>
      </c>
      <c r="Q24" s="206"/>
    </row>
    <row r="25" spans="1:17" ht="50.1" customHeight="1" thickBot="1" x14ac:dyDescent="0.3">
      <c r="A25" s="6" t="s">
        <v>685</v>
      </c>
      <c r="B25" s="6" t="s">
        <v>482</v>
      </c>
      <c r="C25" s="9" t="s">
        <v>494</v>
      </c>
      <c r="D25" s="8" t="s">
        <v>495</v>
      </c>
      <c r="E25" s="20" t="s">
        <v>499</v>
      </c>
      <c r="F25" s="11" t="s">
        <v>500</v>
      </c>
      <c r="G25" s="12" t="s">
        <v>487</v>
      </c>
      <c r="H25" s="15" t="s">
        <v>410</v>
      </c>
      <c r="I25" s="16">
        <v>0</v>
      </c>
      <c r="J25" s="12"/>
      <c r="K25" s="12" t="s">
        <v>412</v>
      </c>
      <c r="L25" s="12" t="s">
        <v>501</v>
      </c>
      <c r="M25" s="12" t="s">
        <v>414</v>
      </c>
      <c r="N25" s="12" t="s">
        <v>434</v>
      </c>
      <c r="O25" s="23" t="s">
        <v>83</v>
      </c>
      <c r="P25" s="203" t="str">
        <f>CONCATENATE(UPPER(VLOOKUP(O25,'2-Inventário de Necessidades'!$A$2:$C$63,2,0))," - ",VLOOKUP(O25,'2-Inventário de Necessidades'!$A$2:$C$63,3,0))</f>
        <v>GOVERNANÇA E GESTÃO DE TI - Implantação da Gestão de Segurança da Informação</v>
      </c>
      <c r="Q25" s="206"/>
    </row>
    <row r="26" spans="1:17" ht="50.1" customHeight="1" thickBot="1" x14ac:dyDescent="0.3">
      <c r="A26" s="6" t="s">
        <v>685</v>
      </c>
      <c r="B26" s="6" t="s">
        <v>482</v>
      </c>
      <c r="C26" s="9" t="s">
        <v>494</v>
      </c>
      <c r="D26" s="8" t="s">
        <v>495</v>
      </c>
      <c r="E26" s="20" t="s">
        <v>502</v>
      </c>
      <c r="F26" s="11" t="s">
        <v>503</v>
      </c>
      <c r="G26" s="12" t="s">
        <v>487</v>
      </c>
      <c r="H26" s="15" t="s">
        <v>410</v>
      </c>
      <c r="I26" s="16">
        <v>0</v>
      </c>
      <c r="J26" s="12" t="s">
        <v>504</v>
      </c>
      <c r="K26" s="12" t="s">
        <v>412</v>
      </c>
      <c r="L26" s="12" t="s">
        <v>505</v>
      </c>
      <c r="M26" s="12" t="s">
        <v>439</v>
      </c>
      <c r="N26" s="12" t="s">
        <v>477</v>
      </c>
      <c r="O26" s="23" t="s">
        <v>47</v>
      </c>
      <c r="P26" s="203" t="str">
        <f>CONCATENATE(UPPER(VLOOKUP(O26,'2-Inventário de Necessidades'!$A$2:$C$63,2,0))," - ",VLOOKUP(O26,'2-Inventário de Necessidades'!$A$2:$C$63,3,0))</f>
        <v>GOVERNANÇA E GESTÃO DE TI - Implantação de Comitê Estratégico de TI</v>
      </c>
      <c r="Q26" s="206"/>
    </row>
    <row r="27" spans="1:17" ht="50.1" customHeight="1" thickBot="1" x14ac:dyDescent="0.3">
      <c r="A27" s="6" t="s">
        <v>685</v>
      </c>
      <c r="B27" s="6" t="s">
        <v>482</v>
      </c>
      <c r="C27" s="9" t="s">
        <v>494</v>
      </c>
      <c r="D27" s="8" t="s">
        <v>495</v>
      </c>
      <c r="E27" s="20" t="s">
        <v>506</v>
      </c>
      <c r="F27" s="11" t="s">
        <v>507</v>
      </c>
      <c r="G27" s="12" t="s">
        <v>487</v>
      </c>
      <c r="H27" s="15" t="s">
        <v>410</v>
      </c>
      <c r="I27" s="16">
        <v>0</v>
      </c>
      <c r="J27" s="12"/>
      <c r="K27" s="11" t="s">
        <v>508</v>
      </c>
      <c r="L27" s="12" t="s">
        <v>509</v>
      </c>
      <c r="M27" s="12" t="s">
        <v>464</v>
      </c>
      <c r="N27" s="12" t="s">
        <v>477</v>
      </c>
      <c r="O27" s="23" t="s">
        <v>83</v>
      </c>
      <c r="P27" s="203" t="str">
        <f>CONCATENATE(UPPER(VLOOKUP(O27,'2-Inventário de Necessidades'!$A$2:$C$63,2,0))," - ",VLOOKUP(O27,'2-Inventário de Necessidades'!$A$2:$C$63,3,0))</f>
        <v>GOVERNANÇA E GESTÃO DE TI - Implantação da Gestão de Segurança da Informação</v>
      </c>
      <c r="Q27" s="206"/>
    </row>
    <row r="28" spans="1:17" ht="50.1" customHeight="1" thickBot="1" x14ac:dyDescent="0.3">
      <c r="A28" s="6" t="s">
        <v>510</v>
      </c>
      <c r="B28" s="6" t="s">
        <v>511</v>
      </c>
      <c r="C28" s="9" t="s">
        <v>512</v>
      </c>
      <c r="D28" s="8" t="s">
        <v>513</v>
      </c>
      <c r="E28" s="20" t="s">
        <v>514</v>
      </c>
      <c r="F28" s="11" t="s">
        <v>515</v>
      </c>
      <c r="G28" s="12" t="s">
        <v>516</v>
      </c>
      <c r="H28" s="15" t="s">
        <v>467</v>
      </c>
      <c r="I28" s="16">
        <v>1</v>
      </c>
      <c r="J28" s="12" t="s">
        <v>517</v>
      </c>
      <c r="K28" s="12" t="s">
        <v>427</v>
      </c>
      <c r="L28" s="12" t="s">
        <v>518</v>
      </c>
      <c r="M28" s="12" t="s">
        <v>414</v>
      </c>
      <c r="N28" s="12" t="s">
        <v>415</v>
      </c>
      <c r="O28" s="23" t="s">
        <v>15</v>
      </c>
      <c r="P28" s="203" t="str">
        <f>CONCATENATE(UPPER(VLOOKUP(O28,'2-Inventário de Necessidades'!$A$2:$C$63,2,0))," - ",VLOOKUP(O28,'2-Inventário de Necessidades'!$A$2:$C$63,3,0))</f>
        <v>SISTEMAS DE INFORMAÇÃO - Viabilização de solução para atender à Nova Contabilidade do Setor Público</v>
      </c>
      <c r="Q28" s="206"/>
    </row>
    <row r="29" spans="1:17" ht="50.1" customHeight="1" thickBot="1" x14ac:dyDescent="0.3">
      <c r="A29" s="6" t="s">
        <v>510</v>
      </c>
      <c r="B29" s="6" t="s">
        <v>511</v>
      </c>
      <c r="C29" s="9" t="s">
        <v>519</v>
      </c>
      <c r="D29" s="8" t="s">
        <v>520</v>
      </c>
      <c r="E29" s="20" t="s">
        <v>521</v>
      </c>
      <c r="F29" s="11" t="s">
        <v>522</v>
      </c>
      <c r="G29" s="12" t="s">
        <v>523</v>
      </c>
      <c r="H29" s="15" t="s">
        <v>410</v>
      </c>
      <c r="I29" s="16">
        <v>0</v>
      </c>
      <c r="J29" s="12"/>
      <c r="K29" s="12" t="s">
        <v>427</v>
      </c>
      <c r="L29" s="17" t="s">
        <v>524</v>
      </c>
      <c r="M29" s="12" t="s">
        <v>414</v>
      </c>
      <c r="N29" s="12"/>
      <c r="O29" s="23" t="s">
        <v>65</v>
      </c>
      <c r="P29" s="203" t="str">
        <f>CONCATENATE(UPPER(VLOOKUP(O29,'2-Inventário de Necessidades'!$A$2:$C$63,2,0))," - ",VLOOKUP(O29,'2-Inventário de Necessidades'!$A$2:$C$63,3,0))</f>
        <v>SISTEMAS DE INFORMAÇÃO - Conclusão da implantação de processo eletrônico</v>
      </c>
      <c r="Q29" s="206"/>
    </row>
    <row r="30" spans="1:17" ht="50.1" customHeight="1" thickBot="1" x14ac:dyDescent="0.3">
      <c r="A30" s="6" t="s">
        <v>510</v>
      </c>
      <c r="B30" s="6" t="s">
        <v>511</v>
      </c>
      <c r="C30" s="9" t="s">
        <v>525</v>
      </c>
      <c r="D30" s="8" t="s">
        <v>526</v>
      </c>
      <c r="E30" s="20" t="s">
        <v>527</v>
      </c>
      <c r="F30" s="11" t="s">
        <v>528</v>
      </c>
      <c r="G30" s="12" t="s">
        <v>409</v>
      </c>
      <c r="H30" s="15" t="s">
        <v>410</v>
      </c>
      <c r="I30" s="16">
        <v>0</v>
      </c>
      <c r="J30" s="11" t="s">
        <v>529</v>
      </c>
      <c r="K30" s="11" t="s">
        <v>427</v>
      </c>
      <c r="L30" s="11" t="s">
        <v>530</v>
      </c>
      <c r="M30" s="11" t="s">
        <v>464</v>
      </c>
      <c r="N30" s="11" t="s">
        <v>415</v>
      </c>
      <c r="O30" s="23" t="s">
        <v>94</v>
      </c>
      <c r="P30" s="203" t="str">
        <f>CONCATENATE(UPPER(VLOOKUP(O30,'2-Inventário de Necessidades'!$A$2:$C$63,2,0))," - ",VLOOKUP(O30,'2-Inventário de Necessidades'!$A$2:$C$63,3,0))</f>
        <v>SISTEMAS DE INFORMAÇÃO - Viabilizar solução de monitoramento de tramitação de autos processuais e produção de documentos</v>
      </c>
      <c r="Q30" s="206"/>
    </row>
    <row r="31" spans="1:17" ht="50.1" customHeight="1" thickBot="1" x14ac:dyDescent="0.3">
      <c r="A31" s="6" t="s">
        <v>531</v>
      </c>
      <c r="B31" s="6" t="s">
        <v>532</v>
      </c>
      <c r="C31" s="9" t="s">
        <v>533</v>
      </c>
      <c r="D31" s="8" t="s">
        <v>534</v>
      </c>
      <c r="E31" s="20" t="s">
        <v>535</v>
      </c>
      <c r="F31" s="11" t="s">
        <v>536</v>
      </c>
      <c r="G31" s="12" t="s">
        <v>523</v>
      </c>
      <c r="H31" s="15" t="s">
        <v>410</v>
      </c>
      <c r="I31" s="16">
        <v>0</v>
      </c>
      <c r="J31" s="12" t="s">
        <v>537</v>
      </c>
      <c r="K31" s="11" t="s">
        <v>427</v>
      </c>
      <c r="L31" s="11" t="s">
        <v>538</v>
      </c>
      <c r="M31" s="11" t="s">
        <v>414</v>
      </c>
      <c r="N31" s="11" t="s">
        <v>456</v>
      </c>
      <c r="O31" s="23" t="s">
        <v>284</v>
      </c>
      <c r="P31" s="203" t="str">
        <f>CONCATENATE(UPPER(VLOOKUP(O31,'2-Inventário de Necessidades'!$A$2:$C$63,2,0))," - ",VLOOKUP(O31,'2-Inventário de Necessidades'!$A$2:$C$63,3,0))</f>
        <v>SERVIÇOS DE TI - Ajustar sistemas internos às necessidades do usuários.</v>
      </c>
      <c r="Q31" s="206" t="s">
        <v>692</v>
      </c>
    </row>
    <row r="32" spans="1:17" ht="50.1" customHeight="1" thickBot="1" x14ac:dyDescent="0.3">
      <c r="A32" s="6" t="s">
        <v>531</v>
      </c>
      <c r="B32" s="6" t="s">
        <v>532</v>
      </c>
      <c r="C32" s="9" t="s">
        <v>533</v>
      </c>
      <c r="D32" s="8" t="s">
        <v>534</v>
      </c>
      <c r="E32" s="20" t="s">
        <v>539</v>
      </c>
      <c r="F32" s="11" t="s">
        <v>540</v>
      </c>
      <c r="G32" s="12" t="s">
        <v>523</v>
      </c>
      <c r="H32" s="15" t="s">
        <v>410</v>
      </c>
      <c r="I32" s="16">
        <v>0</v>
      </c>
      <c r="J32" s="12" t="s">
        <v>541</v>
      </c>
      <c r="K32" s="11" t="s">
        <v>542</v>
      </c>
      <c r="L32" s="11" t="s">
        <v>543</v>
      </c>
      <c r="M32" s="11" t="s">
        <v>464</v>
      </c>
      <c r="N32" s="11" t="s">
        <v>415</v>
      </c>
      <c r="O32" s="23" t="s">
        <v>57</v>
      </c>
      <c r="P32" s="203" t="str">
        <f>CONCATENATE(UPPER(VLOOKUP(O32,'2-Inventário de Necessidades'!$A$2:$C$63,2,0))," - ",VLOOKUP(O32,'2-Inventário de Necessidades'!$A$2:$C$63,3,0))</f>
        <v>SISTEMAS DE INFORMAÇÃO - Sustentação e evolução do sistema GPRO</v>
      </c>
      <c r="Q32" s="206"/>
    </row>
    <row r="33" spans="1:17" ht="84.75" customHeight="1" thickBot="1" x14ac:dyDescent="0.3">
      <c r="A33" s="6" t="s">
        <v>531</v>
      </c>
      <c r="B33" s="6" t="s">
        <v>532</v>
      </c>
      <c r="C33" s="9" t="s">
        <v>533</v>
      </c>
      <c r="D33" s="8" t="s">
        <v>534</v>
      </c>
      <c r="E33" s="20" t="s">
        <v>544</v>
      </c>
      <c r="F33" s="11" t="s">
        <v>545</v>
      </c>
      <c r="G33" s="12" t="s">
        <v>523</v>
      </c>
      <c r="H33" s="15" t="s">
        <v>410</v>
      </c>
      <c r="I33" s="16">
        <v>0</v>
      </c>
      <c r="J33" s="12"/>
      <c r="K33" s="11" t="s">
        <v>427</v>
      </c>
      <c r="L33" s="11" t="s">
        <v>546</v>
      </c>
      <c r="M33" s="11" t="s">
        <v>414</v>
      </c>
      <c r="N33" s="11" t="s">
        <v>456</v>
      </c>
      <c r="O33" s="23" t="s">
        <v>94</v>
      </c>
      <c r="P33" s="203" t="str">
        <f>CONCATENATE(UPPER(VLOOKUP(O33,'2-Inventário de Necessidades'!$A$2:$C$63,2,0))," - ",VLOOKUP(O33,'2-Inventário de Necessidades'!$A$2:$C$63,3,0))</f>
        <v>SISTEMAS DE INFORMAÇÃO - Viabilizar solução de monitoramento de tramitação de autos processuais e produção de documentos</v>
      </c>
      <c r="Q33" s="206" t="s">
        <v>692</v>
      </c>
    </row>
    <row r="34" spans="1:17" ht="68.25" customHeight="1" thickBot="1" x14ac:dyDescent="0.3">
      <c r="A34" s="6" t="s">
        <v>531</v>
      </c>
      <c r="B34" s="6" t="s">
        <v>532</v>
      </c>
      <c r="C34" s="9" t="s">
        <v>547</v>
      </c>
      <c r="D34" s="8" t="s">
        <v>548</v>
      </c>
      <c r="E34" s="20" t="s">
        <v>549</v>
      </c>
      <c r="F34" s="11" t="s">
        <v>550</v>
      </c>
      <c r="G34" s="12" t="s">
        <v>523</v>
      </c>
      <c r="H34" s="15" t="s">
        <v>410</v>
      </c>
      <c r="I34" s="16">
        <v>0</v>
      </c>
      <c r="J34" s="12"/>
      <c r="K34" s="12" t="s">
        <v>427</v>
      </c>
      <c r="L34" s="12" t="s">
        <v>551</v>
      </c>
      <c r="M34" s="12" t="s">
        <v>414</v>
      </c>
      <c r="N34" s="12" t="s">
        <v>419</v>
      </c>
      <c r="O34" s="23" t="s">
        <v>65</v>
      </c>
      <c r="P34" s="203" t="str">
        <f>CONCATENATE(UPPER(VLOOKUP(O34,'2-Inventário de Necessidades'!$A$2:$C$63,2,0))," - ",VLOOKUP(O34,'2-Inventário de Necessidades'!$A$2:$C$63,3,0))</f>
        <v>SISTEMAS DE INFORMAÇÃO - Conclusão da implantação de processo eletrônico</v>
      </c>
      <c r="Q34" s="207"/>
    </row>
    <row r="35" spans="1:17" ht="93.75" customHeight="1" thickBot="1" x14ac:dyDescent="0.3">
      <c r="A35" s="6" t="s">
        <v>531</v>
      </c>
      <c r="B35" s="6" t="s">
        <v>532</v>
      </c>
      <c r="C35" s="9" t="s">
        <v>547</v>
      </c>
      <c r="D35" s="8" t="s">
        <v>548</v>
      </c>
      <c r="E35" s="20" t="s">
        <v>552</v>
      </c>
      <c r="F35" s="11" t="s">
        <v>553</v>
      </c>
      <c r="G35" s="12" t="s">
        <v>523</v>
      </c>
      <c r="H35" s="15" t="s">
        <v>410</v>
      </c>
      <c r="I35" s="16">
        <v>0</v>
      </c>
      <c r="J35" s="12"/>
      <c r="K35" s="12" t="s">
        <v>412</v>
      </c>
      <c r="L35" s="12" t="s">
        <v>554</v>
      </c>
      <c r="M35" s="12" t="s">
        <v>414</v>
      </c>
      <c r="N35" s="12" t="s">
        <v>415</v>
      </c>
      <c r="O35" s="23" t="s">
        <v>108</v>
      </c>
      <c r="P35" s="203" t="str">
        <f>CONCATENATE(UPPER(VLOOKUP(O35,'2-Inventário de Necessidades'!$A$2:$C$63,2,0))," - ",VLOOKUP(O35,'2-Inventário de Necessidades'!$A$2:$C$63,3,0))</f>
        <v>SISTEMAS DE INFORMAÇÃO - Viabilização de divulgação na internet de ações e atividades de controle externo</v>
      </c>
      <c r="Q35" s="206" t="s">
        <v>692</v>
      </c>
    </row>
    <row r="36" spans="1:17" ht="50.1" customHeight="1" thickBot="1" x14ac:dyDescent="0.3">
      <c r="A36" s="6" t="s">
        <v>531</v>
      </c>
      <c r="B36" s="6" t="s">
        <v>532</v>
      </c>
      <c r="C36" s="9" t="s">
        <v>555</v>
      </c>
      <c r="D36" s="8" t="s">
        <v>556</v>
      </c>
      <c r="E36" s="21" t="s">
        <v>557</v>
      </c>
      <c r="F36" s="11" t="s">
        <v>558</v>
      </c>
      <c r="G36" s="12" t="s">
        <v>559</v>
      </c>
      <c r="H36" s="15" t="s">
        <v>410</v>
      </c>
      <c r="I36" s="16">
        <v>0</v>
      </c>
      <c r="J36" s="12" t="s">
        <v>560</v>
      </c>
      <c r="K36" s="12" t="s">
        <v>427</v>
      </c>
      <c r="L36" s="12" t="s">
        <v>561</v>
      </c>
      <c r="M36" s="12" t="s">
        <v>464</v>
      </c>
      <c r="N36" s="12" t="s">
        <v>415</v>
      </c>
      <c r="O36" s="23" t="s">
        <v>18</v>
      </c>
      <c r="P36" s="203" t="str">
        <f>CONCATENATE(UPPER(VLOOKUP(O36,'2-Inventário de Necessidades'!$A$2:$C$63,2,0))," - ",VLOOKUP(O36,'2-Inventário de Necessidades'!$A$2:$C$63,3,0))</f>
        <v>SISTEMAS DE INFORMAÇÃO - Viabilização de solução para fiscalização de licitações e contratos</v>
      </c>
      <c r="Q36" s="206"/>
    </row>
    <row r="37" spans="1:17" ht="50.1" customHeight="1" thickBot="1" x14ac:dyDescent="0.3">
      <c r="A37" s="6" t="s">
        <v>531</v>
      </c>
      <c r="B37" s="6" t="s">
        <v>532</v>
      </c>
      <c r="C37" s="9" t="s">
        <v>555</v>
      </c>
      <c r="D37" s="8" t="s">
        <v>556</v>
      </c>
      <c r="E37" s="21" t="s">
        <v>567</v>
      </c>
      <c r="F37" s="11" t="s">
        <v>568</v>
      </c>
      <c r="G37" s="12" t="s">
        <v>569</v>
      </c>
      <c r="H37" s="15" t="s">
        <v>410</v>
      </c>
      <c r="I37" s="16">
        <v>0</v>
      </c>
      <c r="J37" s="12" t="s">
        <v>570</v>
      </c>
      <c r="K37" s="12" t="s">
        <v>412</v>
      </c>
      <c r="L37" s="12" t="s">
        <v>571</v>
      </c>
      <c r="M37" s="12" t="s">
        <v>414</v>
      </c>
      <c r="N37" s="12" t="s">
        <v>456</v>
      </c>
      <c r="O37" s="23" t="s">
        <v>284</v>
      </c>
      <c r="P37" s="203" t="str">
        <f>CONCATENATE(UPPER(VLOOKUP(O37,'2-Inventário de Necessidades'!$A$2:$C$63,2,0))," - ",VLOOKUP(O37,'2-Inventário de Necessidades'!$A$2:$C$63,3,0))</f>
        <v>SERVIÇOS DE TI - Ajustar sistemas internos às necessidades do usuários.</v>
      </c>
      <c r="Q37" s="206" t="s">
        <v>692</v>
      </c>
    </row>
    <row r="38" spans="1:17" ht="50.1" customHeight="1" thickBot="1" x14ac:dyDescent="0.3">
      <c r="A38" s="6" t="s">
        <v>572</v>
      </c>
      <c r="B38" s="6" t="s">
        <v>573</v>
      </c>
      <c r="C38" s="9" t="s">
        <v>574</v>
      </c>
      <c r="D38" s="8" t="s">
        <v>575</v>
      </c>
      <c r="E38" s="20" t="s">
        <v>576</v>
      </c>
      <c r="F38" s="11" t="s">
        <v>577</v>
      </c>
      <c r="G38" s="12" t="s">
        <v>578</v>
      </c>
      <c r="H38" s="15" t="s">
        <v>410</v>
      </c>
      <c r="I38" s="16">
        <v>0</v>
      </c>
      <c r="J38" s="12" t="s">
        <v>579</v>
      </c>
      <c r="K38" s="12" t="s">
        <v>412</v>
      </c>
      <c r="L38" s="12" t="s">
        <v>580</v>
      </c>
      <c r="M38" s="12" t="s">
        <v>464</v>
      </c>
      <c r="N38" s="12" t="s">
        <v>415</v>
      </c>
      <c r="O38" s="23" t="s">
        <v>83</v>
      </c>
      <c r="P38" s="203" t="str">
        <f>CONCATENATE(UPPER(VLOOKUP(O38,'2-Inventário de Necessidades'!$A$2:$C$63,2,0))," - ",VLOOKUP(O38,'2-Inventário de Necessidades'!$A$2:$C$63,3,0))</f>
        <v>GOVERNANÇA E GESTÃO DE TI - Implantação da Gestão de Segurança da Informação</v>
      </c>
      <c r="Q38" s="206" t="s">
        <v>693</v>
      </c>
    </row>
    <row r="39" spans="1:17" ht="50.1" customHeight="1" thickBot="1" x14ac:dyDescent="0.3">
      <c r="A39" s="6" t="s">
        <v>572</v>
      </c>
      <c r="B39" s="6" t="s">
        <v>573</v>
      </c>
      <c r="C39" s="9" t="s">
        <v>581</v>
      </c>
      <c r="D39" s="8" t="s">
        <v>582</v>
      </c>
      <c r="E39" s="20" t="s">
        <v>583</v>
      </c>
      <c r="F39" s="11" t="s">
        <v>584</v>
      </c>
      <c r="G39" s="12" t="s">
        <v>585</v>
      </c>
      <c r="H39" s="15" t="s">
        <v>410</v>
      </c>
      <c r="I39" s="16">
        <v>0</v>
      </c>
      <c r="J39" s="12" t="s">
        <v>586</v>
      </c>
      <c r="K39" s="12" t="s">
        <v>427</v>
      </c>
      <c r="L39" s="12" t="s">
        <v>587</v>
      </c>
      <c r="M39" s="12" t="s">
        <v>464</v>
      </c>
      <c r="N39" s="12" t="s">
        <v>415</v>
      </c>
      <c r="O39" s="23" t="s">
        <v>45</v>
      </c>
      <c r="P39" s="203" t="str">
        <f>CONCATENATE(UPPER(VLOOKUP(O39,'2-Inventário de Necessidades'!$A$2:$C$63,2,0))," - ",VLOOKUP(O39,'2-Inventário de Necessidades'!$A$2:$C$63,3,0))</f>
        <v>SISTEMAS DE INFORMAÇÃO - Sustentação e evolução do sistema TCE-Juris</v>
      </c>
      <c r="Q39" s="206" t="s">
        <v>694</v>
      </c>
    </row>
    <row r="40" spans="1:17" ht="50.1" customHeight="1" thickBot="1" x14ac:dyDescent="0.3">
      <c r="A40" s="6" t="s">
        <v>572</v>
      </c>
      <c r="B40" s="6" t="s">
        <v>573</v>
      </c>
      <c r="C40" s="9" t="s">
        <v>588</v>
      </c>
      <c r="D40" s="8" t="s">
        <v>589</v>
      </c>
      <c r="E40" s="20" t="s">
        <v>590</v>
      </c>
      <c r="F40" s="11" t="s">
        <v>591</v>
      </c>
      <c r="G40" s="12" t="s">
        <v>578</v>
      </c>
      <c r="H40" s="15" t="s">
        <v>410</v>
      </c>
      <c r="I40" s="16">
        <v>0</v>
      </c>
      <c r="J40" s="12" t="s">
        <v>592</v>
      </c>
      <c r="K40" s="12" t="s">
        <v>593</v>
      </c>
      <c r="L40" s="12"/>
      <c r="M40" s="12"/>
      <c r="N40" s="12" t="s">
        <v>456</v>
      </c>
      <c r="O40" s="23" t="s">
        <v>83</v>
      </c>
      <c r="P40" s="203" t="str">
        <f>CONCATENATE(UPPER(VLOOKUP(O40,'2-Inventário de Necessidades'!$A$2:$C$63,2,0))," - ",VLOOKUP(O40,'2-Inventário de Necessidades'!$A$2:$C$63,3,0))</f>
        <v>GOVERNANÇA E GESTÃO DE TI - Implantação da Gestão de Segurança da Informação</v>
      </c>
      <c r="Q40" s="206"/>
    </row>
    <row r="41" spans="1:17" ht="50.1" customHeight="1" thickBot="1" x14ac:dyDescent="0.3">
      <c r="A41" s="6" t="s">
        <v>572</v>
      </c>
      <c r="B41" s="6" t="s">
        <v>573</v>
      </c>
      <c r="C41" s="9" t="s">
        <v>588</v>
      </c>
      <c r="D41" s="8" t="s">
        <v>589</v>
      </c>
      <c r="E41" s="21" t="s">
        <v>594</v>
      </c>
      <c r="F41" s="11" t="s">
        <v>595</v>
      </c>
      <c r="G41" s="12" t="s">
        <v>578</v>
      </c>
      <c r="H41" s="15" t="s">
        <v>410</v>
      </c>
      <c r="I41" s="16">
        <v>0</v>
      </c>
      <c r="J41" s="12" t="s">
        <v>596</v>
      </c>
      <c r="K41" s="12" t="s">
        <v>542</v>
      </c>
      <c r="L41" s="12"/>
      <c r="M41" s="12"/>
      <c r="N41" s="12"/>
      <c r="O41" s="23" t="s">
        <v>83</v>
      </c>
      <c r="P41" s="203" t="str">
        <f>CONCATENATE(UPPER(VLOOKUP(O41,'2-Inventário de Necessidades'!$A$2:$C$63,2,0))," - ",VLOOKUP(O41,'2-Inventário de Necessidades'!$A$2:$C$63,3,0))</f>
        <v>GOVERNANÇA E GESTÃO DE TI - Implantação da Gestão de Segurança da Informação</v>
      </c>
      <c r="Q41" s="206" t="s">
        <v>693</v>
      </c>
    </row>
    <row r="42" spans="1:17" ht="50.1" customHeight="1" thickBot="1" x14ac:dyDescent="0.3">
      <c r="A42" s="6" t="s">
        <v>572</v>
      </c>
      <c r="B42" s="6" t="s">
        <v>573</v>
      </c>
      <c r="C42" s="9" t="s">
        <v>588</v>
      </c>
      <c r="D42" s="8" t="s">
        <v>589</v>
      </c>
      <c r="E42" s="20" t="s">
        <v>597</v>
      </c>
      <c r="F42" s="11" t="s">
        <v>598</v>
      </c>
      <c r="G42" s="12" t="s">
        <v>578</v>
      </c>
      <c r="H42" s="15" t="s">
        <v>467</v>
      </c>
      <c r="I42" s="16">
        <v>1</v>
      </c>
      <c r="J42" s="12" t="s">
        <v>599</v>
      </c>
      <c r="K42" s="12"/>
      <c r="L42" s="12"/>
      <c r="M42" s="12"/>
      <c r="N42" s="12"/>
      <c r="O42" s="23" t="s">
        <v>140</v>
      </c>
      <c r="P42" s="203" t="str">
        <f>CONCATENATE(UPPER(VLOOKUP(O42,'2-Inventário de Necessidades'!$A$2:$C$63,2,0))," - ",VLOOKUP(O42,'2-Inventário de Necessidades'!$A$2:$C$63,3,0))</f>
        <v>SERVIÇOS DE TI - Viabilização do intercâmbio de informações de interesse com outros orgãos da Administração Pública</v>
      </c>
      <c r="Q42" s="206"/>
    </row>
    <row r="43" spans="1:17" ht="50.1" customHeight="1" thickBot="1" x14ac:dyDescent="0.3">
      <c r="A43" s="6" t="s">
        <v>600</v>
      </c>
      <c r="B43" s="6" t="s">
        <v>601</v>
      </c>
      <c r="C43" s="9" t="s">
        <v>602</v>
      </c>
      <c r="D43" s="8" t="s">
        <v>603</v>
      </c>
      <c r="E43" s="21" t="s">
        <v>604</v>
      </c>
      <c r="F43" s="11" t="s">
        <v>605</v>
      </c>
      <c r="G43" s="12" t="s">
        <v>606</v>
      </c>
      <c r="H43" s="15" t="s">
        <v>410</v>
      </c>
      <c r="I43" s="16">
        <v>0</v>
      </c>
      <c r="J43" s="12" t="s">
        <v>607</v>
      </c>
      <c r="K43" s="12" t="s">
        <v>427</v>
      </c>
      <c r="L43" s="12" t="s">
        <v>608</v>
      </c>
      <c r="M43" s="12" t="s">
        <v>439</v>
      </c>
      <c r="N43" s="12" t="s">
        <v>477</v>
      </c>
      <c r="O43" s="23" t="s">
        <v>28</v>
      </c>
      <c r="P43" s="203" t="str">
        <f>CONCATENATE(UPPER(VLOOKUP(O43,'2-Inventário de Necessidades'!$A$2:$C$63,2,0))," - ",VLOOKUP(O43,'2-Inventário de Necessidades'!$A$2:$C$63,3,0))</f>
        <v>SISTEMAS DE INFORMAÇÃO - Desenvolvimento de solução de aprimoramento do acompanhamento de decisões</v>
      </c>
      <c r="Q43" s="206"/>
    </row>
    <row r="44" spans="1:17" ht="50.1" customHeight="1" thickBot="1" x14ac:dyDescent="0.3">
      <c r="A44" s="6" t="s">
        <v>600</v>
      </c>
      <c r="B44" s="6" t="s">
        <v>601</v>
      </c>
      <c r="C44" s="9" t="s">
        <v>602</v>
      </c>
      <c r="D44" s="8" t="s">
        <v>603</v>
      </c>
      <c r="E44" s="21" t="s">
        <v>609</v>
      </c>
      <c r="F44" s="11" t="s">
        <v>610</v>
      </c>
      <c r="G44" s="12" t="s">
        <v>606</v>
      </c>
      <c r="H44" s="15" t="s">
        <v>410</v>
      </c>
      <c r="I44" s="16">
        <v>0</v>
      </c>
      <c r="J44" s="12" t="s">
        <v>611</v>
      </c>
      <c r="K44" s="12" t="s">
        <v>427</v>
      </c>
      <c r="L44" s="12" t="s">
        <v>612</v>
      </c>
      <c r="M44" s="12" t="s">
        <v>439</v>
      </c>
      <c r="N44" s="12" t="s">
        <v>477</v>
      </c>
      <c r="O44" s="23" t="s">
        <v>28</v>
      </c>
      <c r="P44" s="203" t="str">
        <f>CONCATENATE(UPPER(VLOOKUP(O44,'2-Inventário de Necessidades'!$A$2:$C$63,2,0))," - ",VLOOKUP(O44,'2-Inventário de Necessidades'!$A$2:$C$63,3,0))</f>
        <v>SISTEMAS DE INFORMAÇÃO - Desenvolvimento de solução de aprimoramento do acompanhamento de decisões</v>
      </c>
      <c r="Q44" s="206"/>
    </row>
    <row r="45" spans="1:17" ht="50.1" customHeight="1" thickBot="1" x14ac:dyDescent="0.3">
      <c r="A45" s="6" t="s">
        <v>600</v>
      </c>
      <c r="B45" s="6" t="s">
        <v>601</v>
      </c>
      <c r="C45" s="9" t="s">
        <v>602</v>
      </c>
      <c r="D45" s="8" t="s">
        <v>603</v>
      </c>
      <c r="E45" s="21" t="s">
        <v>613</v>
      </c>
      <c r="F45" s="11" t="s">
        <v>614</v>
      </c>
      <c r="G45" s="12" t="s">
        <v>606</v>
      </c>
      <c r="H45" s="15" t="s">
        <v>410</v>
      </c>
      <c r="I45" s="16">
        <v>0</v>
      </c>
      <c r="J45" s="12"/>
      <c r="K45" s="12" t="s">
        <v>427</v>
      </c>
      <c r="L45" s="12" t="s">
        <v>615</v>
      </c>
      <c r="M45" s="12" t="s">
        <v>439</v>
      </c>
      <c r="N45" s="12" t="s">
        <v>477</v>
      </c>
      <c r="O45" s="23" t="s">
        <v>28</v>
      </c>
      <c r="P45" s="203" t="str">
        <f>CONCATENATE(UPPER(VLOOKUP(O45,'2-Inventário de Necessidades'!$A$2:$C$63,2,0))," - ",VLOOKUP(O45,'2-Inventário de Necessidades'!$A$2:$C$63,3,0))</f>
        <v>SISTEMAS DE INFORMAÇÃO - Desenvolvimento de solução de aprimoramento do acompanhamento de decisões</v>
      </c>
      <c r="Q45" s="206"/>
    </row>
    <row r="46" spans="1:17" ht="50.1" customHeight="1" thickBot="1" x14ac:dyDescent="0.3">
      <c r="A46" s="6" t="s">
        <v>690</v>
      </c>
      <c r="B46" s="6" t="s">
        <v>616</v>
      </c>
      <c r="C46" s="9" t="s">
        <v>617</v>
      </c>
      <c r="D46" s="8" t="s">
        <v>618</v>
      </c>
      <c r="E46" s="20" t="s">
        <v>619</v>
      </c>
      <c r="F46" s="11" t="s">
        <v>620</v>
      </c>
      <c r="G46" s="12" t="s">
        <v>523</v>
      </c>
      <c r="H46" s="15" t="s">
        <v>410</v>
      </c>
      <c r="I46" s="16">
        <v>0</v>
      </c>
      <c r="J46" s="12"/>
      <c r="K46" s="12" t="s">
        <v>412</v>
      </c>
      <c r="L46" s="12" t="s">
        <v>621</v>
      </c>
      <c r="M46" s="12" t="s">
        <v>464</v>
      </c>
      <c r="N46" s="12" t="s">
        <v>415</v>
      </c>
      <c r="O46" s="23" t="s">
        <v>18</v>
      </c>
      <c r="P46" s="203" t="str">
        <f>CONCATENATE(UPPER(VLOOKUP(O46,'2-Inventário de Necessidades'!$A$2:$C$63,2,0))," - ",VLOOKUP(O46,'2-Inventário de Necessidades'!$A$2:$C$63,3,0))</f>
        <v>SISTEMAS DE INFORMAÇÃO - Viabilização de solução para fiscalização de licitações e contratos</v>
      </c>
      <c r="Q46" s="206" t="s">
        <v>692</v>
      </c>
    </row>
    <row r="47" spans="1:17" ht="50.1" customHeight="1" thickBot="1" x14ac:dyDescent="0.3">
      <c r="A47" s="6" t="s">
        <v>622</v>
      </c>
      <c r="B47" s="6" t="s">
        <v>623</v>
      </c>
      <c r="C47" s="9" t="s">
        <v>617</v>
      </c>
      <c r="D47" s="8" t="s">
        <v>618</v>
      </c>
      <c r="E47" s="20" t="s">
        <v>624</v>
      </c>
      <c r="F47" s="11" t="s">
        <v>625</v>
      </c>
      <c r="G47" s="12" t="s">
        <v>626</v>
      </c>
      <c r="H47" s="15" t="s">
        <v>410</v>
      </c>
      <c r="I47" s="16">
        <v>0</v>
      </c>
      <c r="J47" s="12" t="s">
        <v>627</v>
      </c>
      <c r="K47" s="12" t="s">
        <v>412</v>
      </c>
      <c r="L47" s="12" t="s">
        <v>628</v>
      </c>
      <c r="M47" s="12" t="s">
        <v>414</v>
      </c>
      <c r="N47" s="12" t="s">
        <v>434</v>
      </c>
      <c r="O47" s="23" t="s">
        <v>15</v>
      </c>
      <c r="P47" s="203" t="str">
        <f>CONCATENATE(UPPER(VLOOKUP(O47,'2-Inventário de Necessidades'!$A$2:$C$63,2,0))," - ",VLOOKUP(O47,'2-Inventário de Necessidades'!$A$2:$C$63,3,0))</f>
        <v>SISTEMAS DE INFORMAÇÃO - Viabilização de solução para atender à Nova Contabilidade do Setor Público</v>
      </c>
      <c r="Q47" s="206" t="s">
        <v>692</v>
      </c>
    </row>
    <row r="48" spans="1:17" ht="50.1" customHeight="1" thickBot="1" x14ac:dyDescent="0.3">
      <c r="A48" s="6" t="s">
        <v>622</v>
      </c>
      <c r="B48" s="6" t="s">
        <v>623</v>
      </c>
      <c r="C48" s="9" t="s">
        <v>617</v>
      </c>
      <c r="D48" s="8" t="s">
        <v>618</v>
      </c>
      <c r="E48" s="20" t="s">
        <v>629</v>
      </c>
      <c r="F48" s="11" t="s">
        <v>630</v>
      </c>
      <c r="G48" s="12" t="s">
        <v>559</v>
      </c>
      <c r="H48" s="15" t="s">
        <v>410</v>
      </c>
      <c r="I48" s="16">
        <v>0</v>
      </c>
      <c r="J48" s="12" t="s">
        <v>631</v>
      </c>
      <c r="K48" s="12" t="s">
        <v>427</v>
      </c>
      <c r="L48" s="12" t="s">
        <v>632</v>
      </c>
      <c r="M48" s="12" t="s">
        <v>414</v>
      </c>
      <c r="N48" s="12" t="s">
        <v>456</v>
      </c>
      <c r="O48" s="23" t="s">
        <v>15</v>
      </c>
      <c r="P48" s="203" t="str">
        <f>CONCATENATE(UPPER(VLOOKUP(O48,'2-Inventário de Necessidades'!$A$2:$C$63,2,0))," - ",VLOOKUP(O48,'2-Inventário de Necessidades'!$A$2:$C$63,3,0))</f>
        <v>SISTEMAS DE INFORMAÇÃO - Viabilização de solução para atender à Nova Contabilidade do Setor Público</v>
      </c>
      <c r="Q48" s="206"/>
    </row>
    <row r="49" spans="1:17" ht="50.1" customHeight="1" thickBot="1" x14ac:dyDescent="0.3">
      <c r="A49" s="6" t="s">
        <v>633</v>
      </c>
      <c r="B49" s="6" t="s">
        <v>634</v>
      </c>
      <c r="C49" s="9" t="s">
        <v>636</v>
      </c>
      <c r="D49" s="8" t="s">
        <v>637</v>
      </c>
      <c r="E49" s="20" t="s">
        <v>638</v>
      </c>
      <c r="F49" s="11" t="s">
        <v>639</v>
      </c>
      <c r="G49" s="12" t="s">
        <v>635</v>
      </c>
      <c r="H49" s="15" t="s">
        <v>410</v>
      </c>
      <c r="I49" s="16">
        <v>0</v>
      </c>
      <c r="J49" s="12" t="s">
        <v>640</v>
      </c>
      <c r="K49" s="12" t="s">
        <v>542</v>
      </c>
      <c r="L49" s="12" t="s">
        <v>641</v>
      </c>
      <c r="M49" s="12" t="s">
        <v>464</v>
      </c>
      <c r="N49" s="12" t="s">
        <v>415</v>
      </c>
      <c r="O49" s="23" t="s">
        <v>120</v>
      </c>
      <c r="P49" s="203" t="str">
        <f>CONCATENATE(UPPER(VLOOKUP(O49,'2-Inventário de Necessidades'!$A$2:$C$63,2,0))," - ",VLOOKUP(O49,'2-Inventário de Necessidades'!$A$2:$C$63,3,0))</f>
        <v>SISTEMAS DE INFORMAÇÃO - Prover canal de comunicação para que os servidores e cidadãos informem suspeitas de irregularidades</v>
      </c>
      <c r="Q49" s="206"/>
    </row>
    <row r="50" spans="1:17" ht="50.1" customHeight="1" thickBot="1" x14ac:dyDescent="0.3">
      <c r="A50" s="6" t="s">
        <v>633</v>
      </c>
      <c r="B50" s="6" t="s">
        <v>634</v>
      </c>
      <c r="C50" s="9" t="s">
        <v>636</v>
      </c>
      <c r="D50" s="8" t="s">
        <v>637</v>
      </c>
      <c r="E50" s="20" t="s">
        <v>642</v>
      </c>
      <c r="F50" s="11" t="s">
        <v>643</v>
      </c>
      <c r="G50" s="12" t="s">
        <v>635</v>
      </c>
      <c r="H50" s="15" t="s">
        <v>410</v>
      </c>
      <c r="I50" s="16">
        <v>0</v>
      </c>
      <c r="J50" s="12" t="s">
        <v>644</v>
      </c>
      <c r="K50" s="12" t="s">
        <v>542</v>
      </c>
      <c r="L50" s="12" t="s">
        <v>641</v>
      </c>
      <c r="M50" s="12" t="s">
        <v>464</v>
      </c>
      <c r="N50" s="12" t="s">
        <v>415</v>
      </c>
      <c r="O50" s="23" t="s">
        <v>105</v>
      </c>
      <c r="P50" s="203" t="str">
        <f>CONCATENATE(UPPER(VLOOKUP(O50,'2-Inventário de Necessidades'!$A$2:$C$63,2,0))," - ",VLOOKUP(O50,'2-Inventário de Necessidades'!$A$2:$C$63,3,0))</f>
        <v>SERVIÇOS DE TI - Viabilização da inserção do TCE-GO em Redes Sociais</v>
      </c>
      <c r="Q50" s="206"/>
    </row>
    <row r="51" spans="1:17" ht="50.1" customHeight="1" thickBot="1" x14ac:dyDescent="0.3">
      <c r="A51" s="6" t="s">
        <v>633</v>
      </c>
      <c r="B51" s="6" t="s">
        <v>634</v>
      </c>
      <c r="C51" s="9" t="s">
        <v>645</v>
      </c>
      <c r="D51" s="8" t="s">
        <v>646</v>
      </c>
      <c r="E51" s="21" t="s">
        <v>647</v>
      </c>
      <c r="F51" s="11" t="s">
        <v>648</v>
      </c>
      <c r="G51" s="12" t="s">
        <v>635</v>
      </c>
      <c r="H51" s="15" t="s">
        <v>410</v>
      </c>
      <c r="I51" s="16">
        <v>0</v>
      </c>
      <c r="J51" s="12" t="s">
        <v>649</v>
      </c>
      <c r="K51" s="12" t="s">
        <v>427</v>
      </c>
      <c r="L51" s="12" t="s">
        <v>650</v>
      </c>
      <c r="M51" s="12" t="s">
        <v>464</v>
      </c>
      <c r="N51" s="12" t="s">
        <v>477</v>
      </c>
      <c r="O51" s="23" t="s">
        <v>45</v>
      </c>
      <c r="P51" s="203" t="str">
        <f>CONCATENATE(UPPER(VLOOKUP(O51,'2-Inventário de Necessidades'!$A$2:$C$63,2,0))," - ",VLOOKUP(O51,'2-Inventário de Necessidades'!$A$2:$C$63,3,0))</f>
        <v>SISTEMAS DE INFORMAÇÃO - Sustentação e evolução do sistema TCE-Juris</v>
      </c>
      <c r="Q51" s="206"/>
    </row>
    <row r="52" spans="1:17" ht="50.1" customHeight="1" thickBot="1" x14ac:dyDescent="0.3">
      <c r="A52" s="6" t="s">
        <v>633</v>
      </c>
      <c r="B52" s="6" t="s">
        <v>634</v>
      </c>
      <c r="C52" s="9" t="s">
        <v>645</v>
      </c>
      <c r="D52" s="8" t="s">
        <v>646</v>
      </c>
      <c r="E52" s="20" t="s">
        <v>651</v>
      </c>
      <c r="F52" s="11" t="s">
        <v>652</v>
      </c>
      <c r="G52" s="12" t="s">
        <v>635</v>
      </c>
      <c r="H52" s="15" t="s">
        <v>410</v>
      </c>
      <c r="I52" s="16">
        <v>0</v>
      </c>
      <c r="J52" s="12" t="s">
        <v>653</v>
      </c>
      <c r="K52" s="11" t="s">
        <v>508</v>
      </c>
      <c r="L52" s="12" t="s">
        <v>654</v>
      </c>
      <c r="M52" s="12" t="s">
        <v>464</v>
      </c>
      <c r="N52" s="12" t="s">
        <v>477</v>
      </c>
      <c r="O52" s="23" t="s">
        <v>45</v>
      </c>
      <c r="P52" s="203" t="str">
        <f>CONCATENATE(UPPER(VLOOKUP(O52,'2-Inventário de Necessidades'!$A$2:$C$63,2,0))," - ",VLOOKUP(O52,'2-Inventário de Necessidades'!$A$2:$C$63,3,0))</f>
        <v>SISTEMAS DE INFORMAÇÃO - Sustentação e evolução do sistema TCE-Juris</v>
      </c>
      <c r="Q52" s="206"/>
    </row>
    <row r="53" spans="1:17" ht="50.1" customHeight="1" thickBot="1" x14ac:dyDescent="0.3">
      <c r="A53" s="6" t="s">
        <v>633</v>
      </c>
      <c r="B53" s="6" t="s">
        <v>634</v>
      </c>
      <c r="C53" s="9" t="s">
        <v>645</v>
      </c>
      <c r="D53" s="8" t="s">
        <v>646</v>
      </c>
      <c r="E53" s="20" t="s">
        <v>655</v>
      </c>
      <c r="F53" s="11" t="s">
        <v>656</v>
      </c>
      <c r="G53" s="12" t="s">
        <v>635</v>
      </c>
      <c r="H53" s="15" t="s">
        <v>410</v>
      </c>
      <c r="I53" s="16">
        <v>0</v>
      </c>
      <c r="J53" s="12"/>
      <c r="K53" s="11" t="s">
        <v>508</v>
      </c>
      <c r="L53" s="12" t="s">
        <v>657</v>
      </c>
      <c r="M53" s="12" t="s">
        <v>414</v>
      </c>
      <c r="N53" s="12" t="s">
        <v>434</v>
      </c>
      <c r="O53" s="23" t="s">
        <v>45</v>
      </c>
      <c r="P53" s="203" t="str">
        <f>CONCATENATE(UPPER(VLOOKUP(O53,'2-Inventário de Necessidades'!$A$2:$C$63,2,0))," - ",VLOOKUP(O53,'2-Inventário de Necessidades'!$A$2:$C$63,3,0))</f>
        <v>SISTEMAS DE INFORMAÇÃO - Sustentação e evolução do sistema TCE-Juris</v>
      </c>
      <c r="Q53" s="206"/>
    </row>
    <row r="54" spans="1:17" ht="50.1" customHeight="1" thickBot="1" x14ac:dyDescent="0.3">
      <c r="A54" s="6" t="s">
        <v>633</v>
      </c>
      <c r="B54" s="6" t="s">
        <v>634</v>
      </c>
      <c r="C54" s="9" t="s">
        <v>645</v>
      </c>
      <c r="D54" s="8" t="s">
        <v>646</v>
      </c>
      <c r="E54" s="20" t="s">
        <v>658</v>
      </c>
      <c r="F54" s="11" t="s">
        <v>659</v>
      </c>
      <c r="G54" s="12" t="s">
        <v>635</v>
      </c>
      <c r="H54" s="15" t="s">
        <v>410</v>
      </c>
      <c r="I54" s="16">
        <v>0</v>
      </c>
      <c r="J54" s="12" t="s">
        <v>660</v>
      </c>
      <c r="K54" s="12" t="s">
        <v>427</v>
      </c>
      <c r="L54" s="12" t="s">
        <v>661</v>
      </c>
      <c r="M54" s="12" t="s">
        <v>414</v>
      </c>
      <c r="N54" s="12" t="s">
        <v>415</v>
      </c>
      <c r="O54" s="23" t="s">
        <v>23</v>
      </c>
      <c r="P54" s="203" t="str">
        <f>CONCATENATE(UPPER(VLOOKUP(O54,'2-Inventário de Necessidades'!$A$2:$C$63,2,0))," - ",VLOOKUP(O54,'2-Inventário de Necessidades'!$A$2:$C$63,3,0))</f>
        <v>SISTEMAS DE INFORMAÇÃO - Desenvolvimento de solução de modernização do sistema de Plenário</v>
      </c>
      <c r="Q54" s="206"/>
    </row>
  </sheetData>
  <autoFilter ref="A5:Q54"/>
  <customSheetViews>
    <customSheetView guid="{6DFBCBA6-E327-48F2-941C-44ACD0154C7D}" fitToPage="1" showAutoFilter="1" topLeftCell="M28">
      <selection activeCell="Q6" sqref="Q6:Q54"/>
      <pageMargins left="0.511811024" right="0.511811024" top="0.78740157499999996" bottom="0.78740157499999996" header="0.31496062000000002" footer="0.31496062000000002"/>
      <pageSetup paperSize="9" scale="20" fitToHeight="0" orientation="landscape" r:id="rId1"/>
      <autoFilter ref="A5:Q54"/>
    </customSheetView>
    <customSheetView guid="{9DA56328-1E02-4631-BF3A-66F8FD0B96FD}" fitToPage="1" showAutoFilter="1" topLeftCell="M28">
      <selection activeCell="Q6" sqref="Q6:Q54"/>
      <pageMargins left="0.511811024" right="0.511811024" top="0.78740157499999996" bottom="0.78740157499999996" header="0.31496062000000002" footer="0.31496062000000002"/>
      <pageSetup paperSize="9" scale="20" fitToHeight="0" orientation="landscape" r:id="rId2"/>
      <autoFilter ref="A5:Q54"/>
    </customSheetView>
  </customSheetViews>
  <mergeCells count="6">
    <mergeCell ref="A2:Q2"/>
    <mergeCell ref="O4:Q4"/>
    <mergeCell ref="H4:I4"/>
    <mergeCell ref="A4:E4"/>
    <mergeCell ref="A3:Q3"/>
    <mergeCell ref="J4:N4"/>
  </mergeCells>
  <pageMargins left="0.511811024" right="0.511811024" top="0.78740157499999996" bottom="0.78740157499999996" header="0.31496062000000002" footer="0.31496062000000002"/>
  <pageSetup paperSize="9" scale="20" fitToHeight="0" orientation="landscape"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zoomScale="25" zoomScaleNormal="25" workbookViewId="0">
      <selection activeCell="M1" sqref="M1:U1048576"/>
    </sheetView>
  </sheetViews>
  <sheetFormatPr defaultRowHeight="50.1" customHeight="1" x14ac:dyDescent="0.25"/>
  <cols>
    <col min="1" max="1" width="9.140625" style="290"/>
    <col min="2" max="2" width="24" style="290" bestFit="1" customWidth="1"/>
    <col min="3" max="3" width="49" style="293" customWidth="1"/>
    <col min="4" max="4" width="9.140625" style="290"/>
    <col min="5" max="5" width="61.28515625" style="293" customWidth="1"/>
    <col min="6" max="6" width="23.85546875" style="290" customWidth="1"/>
    <col min="7" max="7" width="27.28515625" style="290" customWidth="1"/>
    <col min="8" max="8" width="41.140625" style="290" customWidth="1"/>
    <col min="9" max="9" width="31.140625" style="290" customWidth="1"/>
    <col min="10" max="10" width="28.42578125" style="295" customWidth="1"/>
    <col min="11" max="11" width="28.42578125" style="298" customWidth="1"/>
    <col min="12" max="12" width="58.85546875" style="290" customWidth="1"/>
    <col min="13" max="13" width="23.85546875" style="374" hidden="1" customWidth="1"/>
    <col min="14" max="15" width="35.140625" style="298" hidden="1" customWidth="1"/>
    <col min="16" max="17" width="35.140625" style="290" hidden="1" customWidth="1"/>
    <col min="18" max="18" width="53.140625" style="369" hidden="1" customWidth="1"/>
    <col min="19" max="19" width="0" style="290" hidden="1" customWidth="1"/>
    <col min="20" max="21" width="10.28515625" style="290" hidden="1" customWidth="1"/>
    <col min="22" max="16384" width="9.140625" style="290"/>
  </cols>
  <sheetData>
    <row r="1" spans="1:21" ht="50.1" customHeight="1" x14ac:dyDescent="0.25">
      <c r="A1" s="281" t="s">
        <v>9</v>
      </c>
      <c r="B1" s="281" t="s">
        <v>206</v>
      </c>
      <c r="C1" s="264" t="s">
        <v>10</v>
      </c>
      <c r="D1" s="281" t="s">
        <v>11</v>
      </c>
      <c r="E1" s="265" t="s">
        <v>12</v>
      </c>
      <c r="F1" s="281" t="s">
        <v>375</v>
      </c>
      <c r="G1" s="281" t="s">
        <v>1337</v>
      </c>
      <c r="H1" s="281" t="s">
        <v>1365</v>
      </c>
      <c r="I1" s="281" t="s">
        <v>14</v>
      </c>
      <c r="J1" s="282" t="s">
        <v>1173</v>
      </c>
      <c r="K1" s="282" t="s">
        <v>1184</v>
      </c>
      <c r="L1" s="282" t="s">
        <v>1185</v>
      </c>
      <c r="M1" s="372" t="s">
        <v>835</v>
      </c>
      <c r="N1" s="282" t="s">
        <v>1268</v>
      </c>
      <c r="O1" s="282" t="s">
        <v>1269</v>
      </c>
      <c r="P1" s="282" t="s">
        <v>1311</v>
      </c>
      <c r="Q1" s="282" t="s">
        <v>1333</v>
      </c>
      <c r="R1" s="282" t="s">
        <v>291</v>
      </c>
      <c r="S1" s="370" t="s">
        <v>1335</v>
      </c>
      <c r="T1" s="370" t="s">
        <v>1336</v>
      </c>
      <c r="U1" s="370" t="s">
        <v>1367</v>
      </c>
    </row>
    <row r="2" spans="1:21" ht="50.1" customHeight="1" x14ac:dyDescent="0.25">
      <c r="A2" s="287" t="s">
        <v>1148</v>
      </c>
      <c r="B2" s="286" t="s">
        <v>849</v>
      </c>
      <c r="C2" s="246" t="s">
        <v>1182</v>
      </c>
      <c r="D2" s="292" t="s">
        <v>1145</v>
      </c>
      <c r="E2" s="276" t="s">
        <v>1176</v>
      </c>
      <c r="F2" s="288" t="s">
        <v>380</v>
      </c>
      <c r="G2" s="286" t="str">
        <f>VLOOKUP(D2,'3-Plano de Ações'!$D$2:$S$177,16,0)</f>
        <v>2017-3</v>
      </c>
      <c r="H2" s="286" t="s">
        <v>1348</v>
      </c>
      <c r="I2" s="375" t="str">
        <f>VLOOKUP(D2,'3-Plano de Ações'!$D$3:$Q$170,14,0)</f>
        <v>Concluído</v>
      </c>
      <c r="J2" s="294" t="s">
        <v>1179</v>
      </c>
      <c r="K2" s="296">
        <v>45</v>
      </c>
      <c r="L2" s="356" t="s">
        <v>1191</v>
      </c>
      <c r="M2" s="373">
        <v>500000</v>
      </c>
      <c r="N2" s="376">
        <v>42736</v>
      </c>
      <c r="O2" s="376">
        <v>42887</v>
      </c>
      <c r="P2" s="356"/>
      <c r="Q2" s="356" t="s">
        <v>1302</v>
      </c>
      <c r="R2" s="368"/>
      <c r="S2" s="370" t="str">
        <f t="shared" ref="S2:S33" si="0">CONCATENATE(D2, " - ", LEFT(E2,30))</f>
        <v xml:space="preserve">A62.01 - Prover suporte tecnológico às </v>
      </c>
      <c r="T2" s="371">
        <f t="shared" ref="T2:T33" ca="1" si="1">N2-TODAY()</f>
        <v>-340</v>
      </c>
      <c r="U2" s="371">
        <f t="shared" ref="U2:U33" ca="1" si="2">O2-TODAY()</f>
        <v>-189</v>
      </c>
    </row>
    <row r="3" spans="1:21" ht="50.1" customHeight="1" x14ac:dyDescent="0.25">
      <c r="A3" s="287" t="s">
        <v>117</v>
      </c>
      <c r="B3" s="286" t="s">
        <v>849</v>
      </c>
      <c r="C3" s="246" t="s">
        <v>118</v>
      </c>
      <c r="D3" s="292" t="s">
        <v>1129</v>
      </c>
      <c r="E3" s="276" t="s">
        <v>1130</v>
      </c>
      <c r="F3" s="288" t="s">
        <v>380</v>
      </c>
      <c r="G3" s="286" t="str">
        <f>VLOOKUP(D3,'3-Plano de Ações'!$D$2:$S$177,16,0)</f>
        <v>2017-2</v>
      </c>
      <c r="H3" s="286" t="s">
        <v>1343</v>
      </c>
      <c r="I3" s="375" t="str">
        <f>VLOOKUP(D3,'3-Plano de Ações'!$D$3:$Q$170,14,0)</f>
        <v>Concluído</v>
      </c>
      <c r="J3" s="294" t="s">
        <v>1181</v>
      </c>
      <c r="K3" s="296">
        <v>48</v>
      </c>
      <c r="L3" s="358" t="s">
        <v>1193</v>
      </c>
      <c r="M3" s="373"/>
      <c r="N3" s="377">
        <v>42856</v>
      </c>
      <c r="O3" s="377">
        <v>42917</v>
      </c>
      <c r="P3" s="366" t="s">
        <v>1319</v>
      </c>
      <c r="Q3" s="367"/>
      <c r="R3" s="368" t="s">
        <v>1305</v>
      </c>
      <c r="S3" s="370" t="str">
        <f t="shared" si="0"/>
        <v>A31.05  - Criar portal da Ouvidoria</v>
      </c>
      <c r="T3" s="371">
        <f t="shared" ca="1" si="1"/>
        <v>-220</v>
      </c>
      <c r="U3" s="371">
        <f t="shared" ca="1" si="2"/>
        <v>-159</v>
      </c>
    </row>
    <row r="4" spans="1:21" ht="50.1" customHeight="1" x14ac:dyDescent="0.25">
      <c r="A4" s="287" t="s">
        <v>913</v>
      </c>
      <c r="B4" s="286" t="s">
        <v>849</v>
      </c>
      <c r="C4" s="246" t="s">
        <v>1152</v>
      </c>
      <c r="D4" s="292" t="s">
        <v>1141</v>
      </c>
      <c r="E4" s="276" t="s">
        <v>1142</v>
      </c>
      <c r="F4" s="288" t="s">
        <v>380</v>
      </c>
      <c r="G4" s="286" t="str">
        <f>VLOOKUP(D4,'3-Plano de Ações'!$D$2:$S$177,16,0)</f>
        <v>2017-2</v>
      </c>
      <c r="H4" s="286" t="s">
        <v>1343</v>
      </c>
      <c r="I4" s="375" t="str">
        <f>VLOOKUP(D4,'3-Plano de Ações'!$D$3:$Q$170,14,0)</f>
        <v>Concluído</v>
      </c>
      <c r="J4" s="294" t="s">
        <v>1179</v>
      </c>
      <c r="K4" s="296">
        <v>44</v>
      </c>
      <c r="L4" s="356" t="s">
        <v>1202</v>
      </c>
      <c r="M4" s="373"/>
      <c r="N4" s="377">
        <v>42856</v>
      </c>
      <c r="O4" s="377">
        <v>42917</v>
      </c>
      <c r="P4" s="366" t="s">
        <v>1319</v>
      </c>
      <c r="Q4" s="365"/>
      <c r="R4" s="368" t="s">
        <v>1298</v>
      </c>
      <c r="S4" s="370" t="str">
        <f t="shared" si="0"/>
        <v>A60.03  - Reformular portal da Transparê</v>
      </c>
      <c r="T4" s="371">
        <f t="shared" ca="1" si="1"/>
        <v>-220</v>
      </c>
      <c r="U4" s="371">
        <f t="shared" ca="1" si="2"/>
        <v>-159</v>
      </c>
    </row>
    <row r="5" spans="1:21" ht="50.1" customHeight="1" x14ac:dyDescent="0.25">
      <c r="A5" s="287" t="s">
        <v>117</v>
      </c>
      <c r="B5" s="286" t="s">
        <v>849</v>
      </c>
      <c r="C5" s="246" t="s">
        <v>118</v>
      </c>
      <c r="D5" s="292" t="s">
        <v>1131</v>
      </c>
      <c r="E5" s="276" t="s">
        <v>1132</v>
      </c>
      <c r="F5" s="288" t="s">
        <v>380</v>
      </c>
      <c r="G5" s="286" t="str">
        <f>VLOOKUP(D5,'3-Plano de Ações'!$D$2:$S$177,16,0)</f>
        <v>Atrasada</v>
      </c>
      <c r="H5" s="286" t="s">
        <v>1342</v>
      </c>
      <c r="I5" s="375" t="str">
        <f>VLOOKUP(D5,'3-Plano de Ações'!$D$3:$Q$170,14,0)</f>
        <v>Em andamento</v>
      </c>
      <c r="J5" s="294" t="s">
        <v>1179</v>
      </c>
      <c r="K5" s="296">
        <v>42</v>
      </c>
      <c r="L5" s="356" t="s">
        <v>1190</v>
      </c>
      <c r="M5" s="373"/>
      <c r="N5" s="377">
        <v>42856</v>
      </c>
      <c r="O5" s="377">
        <v>42917</v>
      </c>
      <c r="P5" s="366" t="s">
        <v>1319</v>
      </c>
      <c r="Q5" s="365"/>
      <c r="R5" s="368" t="s">
        <v>1300</v>
      </c>
      <c r="S5" s="370" t="str">
        <f t="shared" si="0"/>
        <v>A31.06 - Desenvolver portal do Controle</v>
      </c>
      <c r="T5" s="371">
        <f t="shared" ca="1" si="1"/>
        <v>-220</v>
      </c>
      <c r="U5" s="371">
        <f t="shared" ca="1" si="2"/>
        <v>-159</v>
      </c>
    </row>
    <row r="6" spans="1:21" ht="50.1" customHeight="1" x14ac:dyDescent="0.25">
      <c r="A6" s="283" t="s">
        <v>120</v>
      </c>
      <c r="B6" s="284" t="s">
        <v>849</v>
      </c>
      <c r="C6" s="213" t="s">
        <v>918</v>
      </c>
      <c r="D6" s="285" t="s">
        <v>1010</v>
      </c>
      <c r="E6" s="317" t="s">
        <v>1170</v>
      </c>
      <c r="F6" s="286" t="s">
        <v>380</v>
      </c>
      <c r="G6" s="286" t="str">
        <f>VLOOKUP(D6,'3-Plano de Ações'!$D$2:$S$177,16,0)</f>
        <v>2017-2</v>
      </c>
      <c r="H6" s="286" t="s">
        <v>1343</v>
      </c>
      <c r="I6" s="375" t="str">
        <f>VLOOKUP(D6,'3-Plano de Ações'!$D$3:$Q$170,14,0)</f>
        <v>Concluído</v>
      </c>
      <c r="J6" s="294" t="s">
        <v>1179</v>
      </c>
      <c r="K6" s="296">
        <v>43</v>
      </c>
      <c r="L6" s="356" t="s">
        <v>1190</v>
      </c>
      <c r="M6" s="373"/>
      <c r="N6" s="377">
        <v>42856</v>
      </c>
      <c r="O6" s="377">
        <v>42917</v>
      </c>
      <c r="P6" s="366" t="s">
        <v>1319</v>
      </c>
      <c r="Q6" s="356"/>
      <c r="R6" s="368" t="s">
        <v>1301</v>
      </c>
      <c r="S6" s="370" t="str">
        <f t="shared" si="0"/>
        <v>A32.01 - Desenvolver portal de comunica</v>
      </c>
      <c r="T6" s="371">
        <f t="shared" ca="1" si="1"/>
        <v>-220</v>
      </c>
      <c r="U6" s="371">
        <f t="shared" ca="1" si="2"/>
        <v>-159</v>
      </c>
    </row>
    <row r="7" spans="1:21" ht="50.1" customHeight="1" x14ac:dyDescent="0.25">
      <c r="A7" s="283" t="s">
        <v>911</v>
      </c>
      <c r="B7" s="284" t="s">
        <v>849</v>
      </c>
      <c r="C7" s="213" t="s">
        <v>919</v>
      </c>
      <c r="D7" s="285" t="s">
        <v>923</v>
      </c>
      <c r="E7" s="246" t="s">
        <v>914</v>
      </c>
      <c r="F7" s="286" t="s">
        <v>220</v>
      </c>
      <c r="G7" s="286" t="str">
        <f>VLOOKUP(D7,'3-Plano de Ações'!$D$2:$S$177,16,0)</f>
        <v>Revisão 2017-1 - Ação reiterada</v>
      </c>
      <c r="H7" s="286" t="s">
        <v>1338</v>
      </c>
      <c r="I7" s="375" t="str">
        <f>VLOOKUP(D7,'3-Plano de Ações'!$D$3:$Q$170,14,0)</f>
        <v>Não Iniciado</v>
      </c>
      <c r="J7" s="294" t="s">
        <v>1181</v>
      </c>
      <c r="K7" s="296">
        <v>52</v>
      </c>
      <c r="L7" s="356" t="s">
        <v>1196</v>
      </c>
      <c r="M7" s="373">
        <v>2000000</v>
      </c>
      <c r="N7" s="376">
        <v>43101</v>
      </c>
      <c r="O7" s="376">
        <v>43435</v>
      </c>
      <c r="P7" s="356"/>
      <c r="Q7" s="356"/>
      <c r="R7" s="368"/>
      <c r="S7" s="370" t="str">
        <f t="shared" si="0"/>
        <v>A58.01 - Prover solução de gestão corpo</v>
      </c>
      <c r="T7" s="371">
        <f t="shared" ca="1" si="1"/>
        <v>25</v>
      </c>
      <c r="U7" s="371">
        <f t="shared" ca="1" si="2"/>
        <v>359</v>
      </c>
    </row>
    <row r="8" spans="1:21" ht="50.1" customHeight="1" x14ac:dyDescent="0.25">
      <c r="A8" s="287" t="s">
        <v>284</v>
      </c>
      <c r="B8" s="286" t="s">
        <v>850</v>
      </c>
      <c r="C8" s="246" t="s">
        <v>285</v>
      </c>
      <c r="D8" s="292" t="s">
        <v>1137</v>
      </c>
      <c r="E8" s="276" t="s">
        <v>1138</v>
      </c>
      <c r="F8" s="288" t="s">
        <v>380</v>
      </c>
      <c r="G8" s="286" t="str">
        <f>VLOOKUP(D8,'3-Plano de Ações'!$D$2:$S$177,16,0)</f>
        <v>Em dia</v>
      </c>
      <c r="H8" s="286" t="s">
        <v>1352</v>
      </c>
      <c r="I8" s="375" t="str">
        <f>VLOOKUP(D8,'3-Plano de Ações'!$D$3:$Q$170,14,0)</f>
        <v>Em andamento</v>
      </c>
      <c r="J8" s="291" t="s">
        <v>1180</v>
      </c>
      <c r="K8" s="297">
        <v>59</v>
      </c>
      <c r="L8" s="356" t="s">
        <v>1186</v>
      </c>
      <c r="M8" s="373">
        <v>1000000</v>
      </c>
      <c r="N8" s="377">
        <v>43160</v>
      </c>
      <c r="O8" s="377">
        <v>43282</v>
      </c>
      <c r="P8" s="365" t="s">
        <v>1323</v>
      </c>
      <c r="Q8" s="356"/>
      <c r="R8" s="368" t="s">
        <v>1279</v>
      </c>
      <c r="S8" s="370" t="str">
        <f t="shared" si="0"/>
        <v>A56.16 - Desenvolver sistemática de qua</v>
      </c>
      <c r="T8" s="371">
        <f t="shared" ca="1" si="1"/>
        <v>84</v>
      </c>
      <c r="U8" s="371">
        <f t="shared" ca="1" si="2"/>
        <v>206</v>
      </c>
    </row>
    <row r="9" spans="1:21" ht="50.1" customHeight="1" x14ac:dyDescent="0.25">
      <c r="A9" s="287" t="s">
        <v>117</v>
      </c>
      <c r="B9" s="286" t="s">
        <v>849</v>
      </c>
      <c r="C9" s="246" t="s">
        <v>118</v>
      </c>
      <c r="D9" s="292" t="s">
        <v>1127</v>
      </c>
      <c r="E9" s="276" t="s">
        <v>1128</v>
      </c>
      <c r="F9" s="288" t="s">
        <v>380</v>
      </c>
      <c r="G9" s="286" t="str">
        <f>VLOOKUP(D9,'3-Plano de Ações'!$D$2:$S$177,16,0)</f>
        <v>Revisão 2017-1 - Ação Nova</v>
      </c>
      <c r="H9" s="286" t="s">
        <v>1350</v>
      </c>
      <c r="I9" s="375" t="str">
        <f>VLOOKUP(D9,'3-Plano de Ações'!$D$3:$Q$170,14,0)</f>
        <v>Em andamento</v>
      </c>
      <c r="J9" s="294" t="s">
        <v>1181</v>
      </c>
      <c r="K9" s="296">
        <v>47</v>
      </c>
      <c r="L9" s="356" t="s">
        <v>1203</v>
      </c>
      <c r="M9" s="373"/>
      <c r="N9" s="377">
        <v>43313</v>
      </c>
      <c r="O9" s="377">
        <v>43405</v>
      </c>
      <c r="P9" s="365" t="s">
        <v>1264</v>
      </c>
      <c r="Q9" s="365"/>
      <c r="R9" s="368" t="s">
        <v>1304</v>
      </c>
      <c r="S9" s="370" t="str">
        <f t="shared" si="0"/>
        <v>A31.04 - Criar portal do Jurisdicionado</v>
      </c>
      <c r="T9" s="371">
        <f t="shared" ca="1" si="1"/>
        <v>237</v>
      </c>
      <c r="U9" s="371">
        <f t="shared" ca="1" si="2"/>
        <v>329</v>
      </c>
    </row>
    <row r="10" spans="1:21" ht="50.1" customHeight="1" x14ac:dyDescent="0.25">
      <c r="A10" s="287" t="s">
        <v>117</v>
      </c>
      <c r="B10" s="286" t="s">
        <v>849</v>
      </c>
      <c r="C10" s="246" t="s">
        <v>118</v>
      </c>
      <c r="D10" s="292" t="s">
        <v>1125</v>
      </c>
      <c r="E10" s="276" t="s">
        <v>1126</v>
      </c>
      <c r="F10" s="288" t="s">
        <v>380</v>
      </c>
      <c r="G10" s="286" t="str">
        <f>VLOOKUP(D10,'3-Plano de Ações'!$D$2:$S$177,16,0)</f>
        <v>Revisão 2017-1 - Ação Nova</v>
      </c>
      <c r="H10" s="286" t="s">
        <v>1350</v>
      </c>
      <c r="I10" s="375" t="str">
        <f>VLOOKUP(D10,'3-Plano de Ações'!$D$3:$Q$170,14,0)</f>
        <v>Em andamento</v>
      </c>
      <c r="J10" s="291" t="s">
        <v>1180</v>
      </c>
      <c r="K10" s="297">
        <v>56</v>
      </c>
      <c r="L10" s="356" t="s">
        <v>1203</v>
      </c>
      <c r="M10" s="373"/>
      <c r="N10" s="377">
        <v>43313</v>
      </c>
      <c r="O10" s="377">
        <v>43405</v>
      </c>
      <c r="P10" s="366" t="s">
        <v>1319</v>
      </c>
      <c r="Q10" s="356"/>
      <c r="R10" s="368" t="s">
        <v>1278</v>
      </c>
      <c r="S10" s="370" t="str">
        <f t="shared" si="0"/>
        <v>A31.03  - Desenvolver agenda de cumprime</v>
      </c>
      <c r="T10" s="371">
        <f t="shared" ca="1" si="1"/>
        <v>237</v>
      </c>
      <c r="U10" s="371">
        <f t="shared" ca="1" si="2"/>
        <v>329</v>
      </c>
    </row>
    <row r="11" spans="1:21" ht="50.1" customHeight="1" x14ac:dyDescent="0.25">
      <c r="A11" s="287" t="s">
        <v>1146</v>
      </c>
      <c r="B11" s="286" t="s">
        <v>849</v>
      </c>
      <c r="C11" s="246" t="s">
        <v>1147</v>
      </c>
      <c r="D11" s="292" t="s">
        <v>1143</v>
      </c>
      <c r="E11" s="276" t="s">
        <v>1144</v>
      </c>
      <c r="F11" s="288" t="s">
        <v>380</v>
      </c>
      <c r="G11" s="286" t="str">
        <f>VLOOKUP(D11,'3-Plano de Ações'!$D$2:$S$177,16,0)</f>
        <v>Revisão 2017-1 - Ação Nova</v>
      </c>
      <c r="H11" s="286" t="s">
        <v>1359</v>
      </c>
      <c r="I11" s="375" t="str">
        <f>VLOOKUP(D11,'3-Plano de Ações'!$D$3:$Q$170,14,0)</f>
        <v>Não Iniciado</v>
      </c>
      <c r="J11" s="291" t="s">
        <v>1180</v>
      </c>
      <c r="K11" s="297">
        <v>61</v>
      </c>
      <c r="L11" s="356" t="s">
        <v>1332</v>
      </c>
      <c r="M11" s="373"/>
      <c r="N11" s="377">
        <v>43101</v>
      </c>
      <c r="O11" s="377">
        <v>43282</v>
      </c>
      <c r="P11" s="365" t="s">
        <v>1320</v>
      </c>
      <c r="Q11" s="356"/>
      <c r="R11" s="368" t="s">
        <v>1309</v>
      </c>
      <c r="S11" s="370" t="str">
        <f t="shared" si="0"/>
        <v>A61.01  - Desenvolver solução para fisca</v>
      </c>
      <c r="T11" s="371">
        <f t="shared" ca="1" si="1"/>
        <v>25</v>
      </c>
      <c r="U11" s="371">
        <f t="shared" ca="1" si="2"/>
        <v>206</v>
      </c>
    </row>
    <row r="12" spans="1:21" ht="50.1" customHeight="1" x14ac:dyDescent="0.25">
      <c r="A12" s="287" t="s">
        <v>104</v>
      </c>
      <c r="B12" s="286" t="s">
        <v>849</v>
      </c>
      <c r="C12" s="246" t="s">
        <v>1151</v>
      </c>
      <c r="D12" s="292" t="s">
        <v>1120</v>
      </c>
      <c r="E12" s="276" t="s">
        <v>1177</v>
      </c>
      <c r="F12" s="288" t="s">
        <v>380</v>
      </c>
      <c r="G12" s="286" t="str">
        <f>VLOOKUP(D12,'3-Plano de Ações'!$D$2:$S$177,16,0)</f>
        <v>Revisão 2017-1 - Ação Nova</v>
      </c>
      <c r="H12" s="286" t="s">
        <v>1349</v>
      </c>
      <c r="I12" s="375" t="str">
        <f>VLOOKUP(D12,'3-Plano de Ações'!$D$3:$Q$170,14,0)</f>
        <v>Não Iniciado</v>
      </c>
      <c r="J12" s="294" t="s">
        <v>1179</v>
      </c>
      <c r="K12" s="296">
        <v>41</v>
      </c>
      <c r="L12" s="356" t="s">
        <v>1189</v>
      </c>
      <c r="M12" s="373"/>
      <c r="N12" s="377">
        <v>43009</v>
      </c>
      <c r="O12" s="377">
        <v>43009</v>
      </c>
      <c r="P12" s="365" t="s">
        <v>1320</v>
      </c>
      <c r="Q12" s="365" t="s">
        <v>1299</v>
      </c>
      <c r="R12" s="368" t="s">
        <v>1276</v>
      </c>
      <c r="S12" s="370" t="str">
        <f t="shared" si="0"/>
        <v>A26.02 - Prover suporte para  análise d</v>
      </c>
      <c r="T12" s="371">
        <f t="shared" ca="1" si="1"/>
        <v>-67</v>
      </c>
      <c r="U12" s="371">
        <f t="shared" ca="1" si="2"/>
        <v>-67</v>
      </c>
    </row>
    <row r="13" spans="1:21" ht="50.1" customHeight="1" x14ac:dyDescent="0.25">
      <c r="A13" s="283" t="s">
        <v>15</v>
      </c>
      <c r="B13" s="284" t="s">
        <v>849</v>
      </c>
      <c r="C13" s="213" t="s">
        <v>17</v>
      </c>
      <c r="D13" s="285" t="s">
        <v>1018</v>
      </c>
      <c r="E13" s="246" t="s">
        <v>1150</v>
      </c>
      <c r="F13" s="286" t="s">
        <v>380</v>
      </c>
      <c r="G13" s="286" t="str">
        <f>VLOOKUP(D13,'3-Plano de Ações'!$D$2:$S$177,16,0)</f>
        <v>Revisão 2017-1 - Ação revisada</v>
      </c>
      <c r="H13" s="286" t="s">
        <v>1345</v>
      </c>
      <c r="I13" s="375" t="str">
        <f>VLOOKUP(D13,'3-Plano de Ações'!$D$3:$Q$170,14,0)</f>
        <v>Em andamento</v>
      </c>
      <c r="J13" s="294" t="s">
        <v>1181</v>
      </c>
      <c r="K13" s="296">
        <v>46</v>
      </c>
      <c r="L13" s="356" t="s">
        <v>1192</v>
      </c>
      <c r="M13" s="373"/>
      <c r="N13" s="377">
        <v>42979</v>
      </c>
      <c r="O13" s="377">
        <v>43160</v>
      </c>
      <c r="P13" s="365" t="s">
        <v>1321</v>
      </c>
      <c r="Q13" s="365"/>
      <c r="R13" s="368" t="s">
        <v>1303</v>
      </c>
      <c r="S13" s="370" t="str">
        <f t="shared" si="0"/>
        <v>A01.04 - Prover solução para análise de</v>
      </c>
      <c r="T13" s="371">
        <f t="shared" ca="1" si="1"/>
        <v>-97</v>
      </c>
      <c r="U13" s="371">
        <f t="shared" ca="1" si="2"/>
        <v>84</v>
      </c>
    </row>
    <row r="14" spans="1:21" ht="50.1" customHeight="1" x14ac:dyDescent="0.25">
      <c r="A14" s="283" t="s">
        <v>121</v>
      </c>
      <c r="B14" s="284" t="s">
        <v>849</v>
      </c>
      <c r="C14" s="213" t="s">
        <v>122</v>
      </c>
      <c r="D14" s="285" t="s">
        <v>1026</v>
      </c>
      <c r="E14" s="246" t="s">
        <v>123</v>
      </c>
      <c r="F14" s="286" t="s">
        <v>380</v>
      </c>
      <c r="G14" s="286" t="str">
        <f>VLOOKUP(D14,'3-Plano de Ações'!$D$2:$S$177,16,0)</f>
        <v>Revisão 2017-1 - Ação reiterada</v>
      </c>
      <c r="H14" s="286" t="s">
        <v>1359</v>
      </c>
      <c r="I14" s="375" t="str">
        <f>VLOOKUP(D14,'3-Plano de Ações'!$D$3:$Q$170,14,0)</f>
        <v>Não Iniciado</v>
      </c>
      <c r="J14" s="294" t="s">
        <v>1181</v>
      </c>
      <c r="K14" s="296">
        <v>49</v>
      </c>
      <c r="L14" s="356" t="s">
        <v>1194</v>
      </c>
      <c r="M14" s="373"/>
      <c r="N14" s="377">
        <v>42979</v>
      </c>
      <c r="O14" s="377">
        <v>43040</v>
      </c>
      <c r="P14" s="365" t="s">
        <v>1320</v>
      </c>
      <c r="Q14" s="365" t="s">
        <v>1299</v>
      </c>
      <c r="R14" s="368" t="s">
        <v>1277</v>
      </c>
      <c r="S14" s="370" t="str">
        <f t="shared" si="0"/>
        <v>A33.01 - Desenvolver sistema para fisca</v>
      </c>
      <c r="T14" s="371">
        <f t="shared" ca="1" si="1"/>
        <v>-97</v>
      </c>
      <c r="U14" s="371">
        <f t="shared" ca="1" si="2"/>
        <v>-36</v>
      </c>
    </row>
    <row r="15" spans="1:21" ht="50.1" customHeight="1" x14ac:dyDescent="0.25">
      <c r="A15" s="287" t="s">
        <v>913</v>
      </c>
      <c r="B15" s="286" t="s">
        <v>849</v>
      </c>
      <c r="C15" s="246" t="s">
        <v>1152</v>
      </c>
      <c r="D15" s="292" t="s">
        <v>1139</v>
      </c>
      <c r="E15" s="276" t="s">
        <v>1140</v>
      </c>
      <c r="F15" s="288" t="s">
        <v>380</v>
      </c>
      <c r="G15" s="286" t="str">
        <f>VLOOKUP(D15,'3-Plano de Ações'!$D$2:$S$177,16,0)</f>
        <v>Em dia</v>
      </c>
      <c r="H15" s="286" t="s">
        <v>1351</v>
      </c>
      <c r="I15" s="375" t="str">
        <f>VLOOKUP(D15,'3-Plano de Ações'!$D$3:$Q$170,14,0)</f>
        <v>Em andamento</v>
      </c>
      <c r="J15" s="291" t="s">
        <v>1180</v>
      </c>
      <c r="K15" s="297">
        <v>60</v>
      </c>
      <c r="L15" s="356" t="s">
        <v>1194</v>
      </c>
      <c r="M15" s="373"/>
      <c r="N15" s="377">
        <v>42979</v>
      </c>
      <c r="O15" s="377">
        <v>43160</v>
      </c>
      <c r="P15" s="365" t="s">
        <v>1320</v>
      </c>
      <c r="Q15" s="365" t="s">
        <v>1280</v>
      </c>
      <c r="R15" s="368"/>
      <c r="S15" s="370" t="str">
        <f t="shared" si="0"/>
        <v>A60.02 - Conceber aplicativo móvel para</v>
      </c>
      <c r="T15" s="371">
        <f t="shared" ca="1" si="1"/>
        <v>-97</v>
      </c>
      <c r="U15" s="371">
        <f t="shared" ca="1" si="2"/>
        <v>84</v>
      </c>
    </row>
    <row r="16" spans="1:21" ht="50.1" customHeight="1" x14ac:dyDescent="0.25">
      <c r="A16" s="287" t="s">
        <v>104</v>
      </c>
      <c r="B16" s="286" t="s">
        <v>849</v>
      </c>
      <c r="C16" s="246" t="s">
        <v>1151</v>
      </c>
      <c r="D16" s="292" t="s">
        <v>1123</v>
      </c>
      <c r="E16" s="276" t="s">
        <v>1178</v>
      </c>
      <c r="F16" s="288" t="s">
        <v>380</v>
      </c>
      <c r="G16" s="286" t="str">
        <f>VLOOKUP(D16,'3-Plano de Ações'!$D$2:$S$177,16,0)</f>
        <v>Revisão 2017-1 - Ação Nova</v>
      </c>
      <c r="H16" s="286" t="s">
        <v>1363</v>
      </c>
      <c r="I16" s="375" t="str">
        <f>VLOOKUP(D16,'3-Plano de Ações'!$D$3:$Q$170,14,0)</f>
        <v>Não Iniciado</v>
      </c>
      <c r="J16" s="291" t="s">
        <v>1180</v>
      </c>
      <c r="K16" s="297">
        <v>55</v>
      </c>
      <c r="L16" s="356" t="s">
        <v>1201</v>
      </c>
      <c r="M16" s="373">
        <v>1000000</v>
      </c>
      <c r="N16" s="377">
        <v>43009</v>
      </c>
      <c r="O16" s="377">
        <v>43009</v>
      </c>
      <c r="P16" s="365" t="s">
        <v>1320</v>
      </c>
      <c r="Q16" s="365" t="s">
        <v>1299</v>
      </c>
      <c r="R16" s="368" t="s">
        <v>1276</v>
      </c>
      <c r="S16" s="370" t="str">
        <f t="shared" si="0"/>
        <v>A26.04 - Prover suporte para Análise de</v>
      </c>
      <c r="T16" s="371">
        <f t="shared" ca="1" si="1"/>
        <v>-67</v>
      </c>
      <c r="U16" s="371">
        <f t="shared" ca="1" si="2"/>
        <v>-67</v>
      </c>
    </row>
    <row r="17" spans="1:21" ht="50.1" customHeight="1" x14ac:dyDescent="0.25">
      <c r="A17" s="283" t="s">
        <v>28</v>
      </c>
      <c r="B17" s="284" t="s">
        <v>849</v>
      </c>
      <c r="C17" s="213" t="s">
        <v>29</v>
      </c>
      <c r="D17" s="285" t="s">
        <v>1029</v>
      </c>
      <c r="E17" s="246" t="s">
        <v>769</v>
      </c>
      <c r="F17" s="286" t="s">
        <v>380</v>
      </c>
      <c r="G17" s="286" t="str">
        <f>VLOOKUP(D17,'3-Plano de Ações'!$D$2:$S$177,16,0)</f>
        <v>Revisão 2017-1 - Ação revisada</v>
      </c>
      <c r="H17" s="286" t="s">
        <v>1346</v>
      </c>
      <c r="I17" s="375" t="str">
        <f>VLOOKUP(D17,'3-Plano de Ações'!$D$3:$Q$170,14,0)</f>
        <v>Não Iniciado</v>
      </c>
      <c r="J17" s="291" t="s">
        <v>1180</v>
      </c>
      <c r="K17" s="297">
        <v>53</v>
      </c>
      <c r="L17" s="356" t="s">
        <v>1199</v>
      </c>
      <c r="M17" s="373"/>
      <c r="N17" s="377">
        <v>43160</v>
      </c>
      <c r="O17" s="377">
        <v>43282</v>
      </c>
      <c r="P17" s="365" t="s">
        <v>1322</v>
      </c>
      <c r="Q17" s="365"/>
      <c r="R17" s="368" t="s">
        <v>1307</v>
      </c>
      <c r="S17" s="370" t="str">
        <f t="shared" si="0"/>
        <v>A06.02 - Desenvolver sistema para monit</v>
      </c>
      <c r="T17" s="371">
        <f t="shared" ca="1" si="1"/>
        <v>84</v>
      </c>
      <c r="U17" s="371">
        <f t="shared" ca="1" si="2"/>
        <v>206</v>
      </c>
    </row>
    <row r="18" spans="1:21" ht="50.1" customHeight="1" x14ac:dyDescent="0.25">
      <c r="A18" s="283" t="s">
        <v>30</v>
      </c>
      <c r="B18" s="284" t="s">
        <v>849</v>
      </c>
      <c r="C18" s="213" t="s">
        <v>31</v>
      </c>
      <c r="D18" s="285" t="s">
        <v>1025</v>
      </c>
      <c r="E18" s="317" t="s">
        <v>960</v>
      </c>
      <c r="F18" s="286" t="s">
        <v>380</v>
      </c>
      <c r="G18" s="286" t="str">
        <f>VLOOKUP(D18,'3-Plano de Ações'!$D$2:$S$177,16,0)</f>
        <v>Revisão 2017-1 - Ação revisada</v>
      </c>
      <c r="H18" s="286" t="s">
        <v>1347</v>
      </c>
      <c r="I18" s="375" t="str">
        <f>VLOOKUP(D18,'3-Plano de Ações'!$D$3:$Q$170,14,0)</f>
        <v>Não Iniciado</v>
      </c>
      <c r="J18" s="291" t="s">
        <v>1180</v>
      </c>
      <c r="K18" s="297">
        <v>54</v>
      </c>
      <c r="L18" s="356" t="s">
        <v>1200</v>
      </c>
      <c r="M18" s="373"/>
      <c r="N18" s="377">
        <v>43191</v>
      </c>
      <c r="O18" s="377">
        <v>43344</v>
      </c>
      <c r="P18" s="365" t="s">
        <v>1315</v>
      </c>
      <c r="Q18" s="365"/>
      <c r="R18" s="368" t="s">
        <v>1334</v>
      </c>
      <c r="S18" s="370" t="str">
        <f t="shared" si="0"/>
        <v>A07.02 - Desenvolver sistema para conso</v>
      </c>
      <c r="T18" s="371">
        <f t="shared" ca="1" si="1"/>
        <v>115</v>
      </c>
      <c r="U18" s="371">
        <f t="shared" ca="1" si="2"/>
        <v>268</v>
      </c>
    </row>
    <row r="19" spans="1:21" ht="50.1" customHeight="1" x14ac:dyDescent="0.25">
      <c r="A19" s="287" t="s">
        <v>284</v>
      </c>
      <c r="B19" s="286" t="s">
        <v>850</v>
      </c>
      <c r="C19" s="246" t="s">
        <v>285</v>
      </c>
      <c r="D19" s="292" t="s">
        <v>1135</v>
      </c>
      <c r="E19" s="276" t="s">
        <v>1136</v>
      </c>
      <c r="F19" s="288" t="s">
        <v>380</v>
      </c>
      <c r="G19" s="286" t="str">
        <f>VLOOKUP(D19,'3-Plano de Ações'!$D$2:$S$177,16,0)</f>
        <v>Em dia</v>
      </c>
      <c r="H19" s="286" t="s">
        <v>1349</v>
      </c>
      <c r="I19" s="375" t="str">
        <f>VLOOKUP(D19,'3-Plano de Ações'!$D$3:$Q$170,14,0)</f>
        <v>Em andamento</v>
      </c>
      <c r="J19" s="291" t="s">
        <v>1180</v>
      </c>
      <c r="K19" s="297">
        <v>58</v>
      </c>
      <c r="L19" s="356" t="s">
        <v>1187</v>
      </c>
      <c r="M19" s="373"/>
      <c r="N19" s="377">
        <v>42856</v>
      </c>
      <c r="O19" s="377">
        <v>43070</v>
      </c>
      <c r="P19" s="365" t="s">
        <v>1317</v>
      </c>
      <c r="Q19" s="357" t="s">
        <v>1297</v>
      </c>
      <c r="R19" s="368" t="s">
        <v>1308</v>
      </c>
      <c r="S19" s="370" t="str">
        <f t="shared" si="0"/>
        <v>A56.15 - Evolução GNOI</v>
      </c>
      <c r="T19" s="371">
        <f t="shared" ca="1" si="1"/>
        <v>-220</v>
      </c>
      <c r="U19" s="371">
        <f t="shared" ca="1" si="2"/>
        <v>-6</v>
      </c>
    </row>
    <row r="20" spans="1:21" ht="50.1" customHeight="1" x14ac:dyDescent="0.25">
      <c r="A20" s="283" t="s">
        <v>65</v>
      </c>
      <c r="B20" s="284" t="s">
        <v>849</v>
      </c>
      <c r="C20" s="213" t="s">
        <v>66</v>
      </c>
      <c r="D20" s="285" t="s">
        <v>1014</v>
      </c>
      <c r="E20" s="246" t="s">
        <v>67</v>
      </c>
      <c r="F20" s="286" t="s">
        <v>380</v>
      </c>
      <c r="G20" s="286" t="str">
        <f>VLOOKUP(D20,'3-Plano de Ações'!$D$2:$S$177,16,0)</f>
        <v>Em dia</v>
      </c>
      <c r="H20" s="286" t="s">
        <v>1353</v>
      </c>
      <c r="I20" s="375" t="str">
        <f>VLOOKUP(D20,'3-Plano de Ações'!$D$3:$Q$170,14,0)</f>
        <v>Em andamento</v>
      </c>
      <c r="J20" s="291" t="s">
        <v>1180</v>
      </c>
      <c r="K20" s="297">
        <v>2</v>
      </c>
      <c r="L20" s="356" t="s">
        <v>1188</v>
      </c>
      <c r="M20" s="373"/>
      <c r="N20" s="377">
        <v>42856</v>
      </c>
      <c r="O20" s="377">
        <v>43435</v>
      </c>
      <c r="P20" s="365" t="s">
        <v>1312</v>
      </c>
      <c r="Q20" s="365"/>
      <c r="R20" s="368" t="s">
        <v>1270</v>
      </c>
      <c r="S20" s="370" t="str">
        <f t="shared" si="0"/>
        <v>A15.03 - Desenvolver projeto de implant</v>
      </c>
      <c r="T20" s="371">
        <f t="shared" ca="1" si="1"/>
        <v>-220</v>
      </c>
      <c r="U20" s="371">
        <f t="shared" ca="1" si="2"/>
        <v>359</v>
      </c>
    </row>
    <row r="21" spans="1:21" ht="50.1" customHeight="1" x14ac:dyDescent="0.25">
      <c r="A21" s="287" t="s">
        <v>284</v>
      </c>
      <c r="B21" s="286" t="s">
        <v>850</v>
      </c>
      <c r="C21" s="246" t="s">
        <v>285</v>
      </c>
      <c r="D21" s="289" t="s">
        <v>1133</v>
      </c>
      <c r="E21" s="276" t="s">
        <v>1134</v>
      </c>
      <c r="F21" s="288" t="s">
        <v>380</v>
      </c>
      <c r="G21" s="286" t="str">
        <f>VLOOKUP(D21,'3-Plano de Ações'!$D$2:$S$177,16,0)</f>
        <v>Revisão 2017-1 - Ação Nova</v>
      </c>
      <c r="H21" s="286" t="s">
        <v>1352</v>
      </c>
      <c r="I21" s="375" t="str">
        <f>VLOOKUP(D21,'3-Plano de Ações'!$D$3:$Q$170,14,0)</f>
        <v>Não Iniciado</v>
      </c>
      <c r="J21" s="291" t="s">
        <v>1180</v>
      </c>
      <c r="K21" s="297">
        <v>57</v>
      </c>
      <c r="L21" s="356" t="s">
        <v>1188</v>
      </c>
      <c r="M21" s="373"/>
      <c r="N21" s="377">
        <v>43313</v>
      </c>
      <c r="O21" s="377">
        <v>43405</v>
      </c>
      <c r="P21" s="365" t="s">
        <v>1324</v>
      </c>
      <c r="Q21" s="356"/>
      <c r="R21" s="368"/>
      <c r="S21" s="370" t="str">
        <f t="shared" si="0"/>
        <v>A56.14 -  Reestruturar a certificação d</v>
      </c>
      <c r="T21" s="371">
        <f t="shared" ca="1" si="1"/>
        <v>237</v>
      </c>
      <c r="U21" s="371">
        <f t="shared" ca="1" si="2"/>
        <v>329</v>
      </c>
    </row>
    <row r="22" spans="1:21" ht="50.1" customHeight="1" x14ac:dyDescent="0.25">
      <c r="A22" s="283" t="s">
        <v>132</v>
      </c>
      <c r="B22" s="284" t="s">
        <v>849</v>
      </c>
      <c r="C22" s="213" t="s">
        <v>1153</v>
      </c>
      <c r="D22" s="285" t="s">
        <v>1004</v>
      </c>
      <c r="E22" s="246" t="s">
        <v>133</v>
      </c>
      <c r="F22" s="286" t="s">
        <v>380</v>
      </c>
      <c r="G22" s="286" t="str">
        <f>VLOOKUP(D22,'3-Plano de Ações'!$D$2:$S$177,16,0)</f>
        <v>Revisão 2017-1 - Ação revisada</v>
      </c>
      <c r="H22" s="286" t="s">
        <v>1344</v>
      </c>
      <c r="I22" s="375" t="str">
        <f>VLOOKUP(D22,'3-Plano de Ações'!$D$3:$Q$170,14,0)</f>
        <v>Não Iniciado</v>
      </c>
      <c r="J22" s="294" t="s">
        <v>1181</v>
      </c>
      <c r="K22" s="296">
        <v>50</v>
      </c>
      <c r="L22" s="356" t="s">
        <v>1195</v>
      </c>
      <c r="M22" s="373"/>
      <c r="N22" s="377">
        <v>42856</v>
      </c>
      <c r="O22" s="377">
        <v>43435</v>
      </c>
      <c r="P22" s="365" t="s">
        <v>1323</v>
      </c>
      <c r="Q22" s="365"/>
      <c r="R22" s="368" t="s">
        <v>1306</v>
      </c>
      <c r="S22" s="370" t="str">
        <f t="shared" si="0"/>
        <v>A37.01 - Desenvolver melhorias no siste</v>
      </c>
      <c r="T22" s="371">
        <f t="shared" ca="1" si="1"/>
        <v>-220</v>
      </c>
      <c r="U22" s="371">
        <f t="shared" ca="1" si="2"/>
        <v>359</v>
      </c>
    </row>
    <row r="23" spans="1:21" ht="50.1" customHeight="1" x14ac:dyDescent="0.25">
      <c r="A23" s="287" t="s">
        <v>132</v>
      </c>
      <c r="B23" s="286" t="s">
        <v>849</v>
      </c>
      <c r="C23" s="246" t="s">
        <v>1153</v>
      </c>
      <c r="D23" s="292" t="s">
        <v>1160</v>
      </c>
      <c r="E23" s="276" t="s">
        <v>1154</v>
      </c>
      <c r="F23" s="288" t="s">
        <v>380</v>
      </c>
      <c r="G23" s="286" t="str">
        <f>VLOOKUP(D23,'3-Plano de Ações'!$D$2:$S$177,16,0)</f>
        <v>Revisão 2017-1 - Ação Nova</v>
      </c>
      <c r="H23" s="286" t="s">
        <v>1344</v>
      </c>
      <c r="I23" s="375" t="str">
        <f>VLOOKUP(D23,'3-Plano de Ações'!$D$3:$Q$170,14,0)</f>
        <v>Não Iniciado</v>
      </c>
      <c r="J23" s="294" t="s">
        <v>1181</v>
      </c>
      <c r="K23" s="296">
        <v>51</v>
      </c>
      <c r="L23" s="356" t="s">
        <v>1195</v>
      </c>
      <c r="M23" s="373"/>
      <c r="N23" s="377">
        <v>42948</v>
      </c>
      <c r="O23" s="377">
        <v>43040</v>
      </c>
      <c r="P23" s="365" t="s">
        <v>1313</v>
      </c>
      <c r="Q23" s="365"/>
      <c r="R23" s="368"/>
      <c r="S23" s="370" t="str">
        <f t="shared" si="0"/>
        <v>A37.02 - Atender a necessidade da SECGE</v>
      </c>
      <c r="T23" s="371">
        <f t="shared" ca="1" si="1"/>
        <v>-128</v>
      </c>
      <c r="U23" s="371">
        <f t="shared" ca="1" si="2"/>
        <v>-36</v>
      </c>
    </row>
    <row r="24" spans="1:21" ht="50.1" customHeight="1" x14ac:dyDescent="0.25">
      <c r="A24" s="283" t="s">
        <v>124</v>
      </c>
      <c r="B24" s="284" t="s">
        <v>849</v>
      </c>
      <c r="C24" s="213" t="s">
        <v>125</v>
      </c>
      <c r="D24" s="285" t="s">
        <v>1024</v>
      </c>
      <c r="E24" s="246" t="s">
        <v>126</v>
      </c>
      <c r="F24" s="286" t="s">
        <v>380</v>
      </c>
      <c r="G24" s="286" t="str">
        <f>VLOOKUP(D24,'3-Plano de Ações'!$D$2:$S$177,16,0)</f>
        <v>Em dia</v>
      </c>
      <c r="H24" s="286" t="s">
        <v>1352</v>
      </c>
      <c r="I24" s="375" t="str">
        <f>VLOOKUP(D24,'3-Plano de Ações'!$D$3:$Q$170,14,0)</f>
        <v>Em andamento</v>
      </c>
      <c r="J24" s="291" t="s">
        <v>1180</v>
      </c>
      <c r="K24" s="297">
        <v>3</v>
      </c>
      <c r="L24" s="356" t="s">
        <v>1197</v>
      </c>
      <c r="M24" s="373"/>
      <c r="N24" s="377">
        <v>42887</v>
      </c>
      <c r="O24" s="377">
        <v>43132</v>
      </c>
      <c r="P24" s="365" t="s">
        <v>1320</v>
      </c>
      <c r="Q24" s="365" t="s">
        <v>1280</v>
      </c>
      <c r="R24" s="368" t="s">
        <v>1271</v>
      </c>
      <c r="S24" s="370" t="str">
        <f t="shared" si="0"/>
        <v>A34.01 - Desenvolver sistema GED - Gest</v>
      </c>
      <c r="T24" s="371">
        <f t="shared" ca="1" si="1"/>
        <v>-189</v>
      </c>
      <c r="U24" s="371">
        <f t="shared" ca="1" si="2"/>
        <v>56</v>
      </c>
    </row>
    <row r="25" spans="1:21" ht="50.1" customHeight="1" x14ac:dyDescent="0.25">
      <c r="A25" s="283" t="s">
        <v>94</v>
      </c>
      <c r="B25" s="284" t="s">
        <v>849</v>
      </c>
      <c r="C25" s="213" t="s">
        <v>95</v>
      </c>
      <c r="D25" s="285" t="s">
        <v>1022</v>
      </c>
      <c r="E25" s="246" t="s">
        <v>96</v>
      </c>
      <c r="F25" s="286" t="s">
        <v>380</v>
      </c>
      <c r="G25" s="286" t="str">
        <f>VLOOKUP(D25,'3-Plano de Ações'!$D$2:$S$177,16,0)</f>
        <v>2017-2</v>
      </c>
      <c r="H25" s="286" t="s">
        <v>1366</v>
      </c>
      <c r="I25" s="375" t="str">
        <f>VLOOKUP(D25,'3-Plano de Ações'!$D$3:$Q$170,14,0)</f>
        <v>Concluído</v>
      </c>
      <c r="J25" s="294" t="s">
        <v>1181</v>
      </c>
      <c r="K25" s="296">
        <v>1</v>
      </c>
      <c r="L25" s="356" t="s">
        <v>1198</v>
      </c>
      <c r="M25" s="373"/>
      <c r="N25" s="377">
        <v>42856</v>
      </c>
      <c r="O25" s="377">
        <v>42979</v>
      </c>
      <c r="P25" s="365" t="s">
        <v>1313</v>
      </c>
      <c r="Q25" s="365"/>
      <c r="R25" s="368" t="s">
        <v>1267</v>
      </c>
      <c r="S25" s="370" t="str">
        <f t="shared" si="0"/>
        <v>A22.02 - Desenvolver sistema de monitor</v>
      </c>
      <c r="T25" s="371">
        <f t="shared" ca="1" si="1"/>
        <v>-220</v>
      </c>
      <c r="U25" s="371">
        <f t="shared" ca="1" si="2"/>
        <v>-97</v>
      </c>
    </row>
    <row r="26" spans="1:21" ht="50.1" customHeight="1" x14ac:dyDescent="0.25">
      <c r="A26" s="283" t="s">
        <v>23</v>
      </c>
      <c r="B26" s="284" t="s">
        <v>849</v>
      </c>
      <c r="C26" s="213" t="s">
        <v>24</v>
      </c>
      <c r="D26" s="285" t="s">
        <v>1021</v>
      </c>
      <c r="E26" s="213" t="s">
        <v>1108</v>
      </c>
      <c r="F26" s="286" t="s">
        <v>380</v>
      </c>
      <c r="G26" s="286" t="str">
        <f>VLOOKUP(D26,'3-Plano de Ações'!$D$2:$S$177,16,0)</f>
        <v>2017-3</v>
      </c>
      <c r="H26" s="286" t="s">
        <v>1362</v>
      </c>
      <c r="I26" s="375" t="str">
        <f>VLOOKUP(D26,'3-Plano de Ações'!$D$3:$Q$170,14,0)</f>
        <v>Concluído</v>
      </c>
      <c r="J26" s="294"/>
      <c r="K26" s="296">
        <v>62</v>
      </c>
      <c r="L26" s="357"/>
      <c r="M26" s="373"/>
      <c r="N26" s="377">
        <v>43313</v>
      </c>
      <c r="O26" s="377">
        <v>43405</v>
      </c>
      <c r="P26" s="365" t="s">
        <v>1325</v>
      </c>
      <c r="Q26" s="357"/>
      <c r="R26" s="368"/>
      <c r="S26" s="370" t="str">
        <f t="shared" si="0"/>
        <v>A04.02 - Desenvolver sistema de moderni</v>
      </c>
      <c r="T26" s="371">
        <f t="shared" ca="1" si="1"/>
        <v>237</v>
      </c>
      <c r="U26" s="371">
        <f t="shared" ca="1" si="2"/>
        <v>329</v>
      </c>
    </row>
    <row r="27" spans="1:21" ht="50.1" customHeight="1" x14ac:dyDescent="0.25">
      <c r="A27" s="283" t="s">
        <v>25</v>
      </c>
      <c r="B27" s="284" t="s">
        <v>849</v>
      </c>
      <c r="C27" s="213" t="s">
        <v>26</v>
      </c>
      <c r="D27" s="285" t="s">
        <v>1027</v>
      </c>
      <c r="E27" s="246" t="s">
        <v>27</v>
      </c>
      <c r="F27" s="286" t="s">
        <v>380</v>
      </c>
      <c r="G27" s="286" t="str">
        <f>VLOOKUP(D27,'3-Plano de Ações'!$D$2:$S$177,16,0)</f>
        <v>Prioridade Revista</v>
      </c>
      <c r="H27" s="286" t="s">
        <v>1357</v>
      </c>
      <c r="I27" s="375" t="str">
        <f>VLOOKUP(D27,'3-Plano de Ações'!$D$3:$Q$170,14,0)</f>
        <v>Não Iniciado</v>
      </c>
      <c r="J27" s="294"/>
      <c r="K27" s="296">
        <v>63</v>
      </c>
      <c r="L27" s="357"/>
      <c r="M27" s="373"/>
      <c r="N27" s="377">
        <v>43313</v>
      </c>
      <c r="O27" s="377">
        <v>43405</v>
      </c>
      <c r="P27" s="365" t="s">
        <v>1264</v>
      </c>
      <c r="Q27" s="357"/>
      <c r="R27" s="368"/>
      <c r="S27" s="370" t="str">
        <f t="shared" si="0"/>
        <v>A05.01 - Desenvolver sistema para geren</v>
      </c>
      <c r="T27" s="371">
        <f t="shared" ca="1" si="1"/>
        <v>237</v>
      </c>
      <c r="U27" s="371">
        <f t="shared" ca="1" si="2"/>
        <v>329</v>
      </c>
    </row>
    <row r="28" spans="1:21" ht="50.1" customHeight="1" x14ac:dyDescent="0.25">
      <c r="A28" s="283" t="s">
        <v>32</v>
      </c>
      <c r="B28" s="284" t="s">
        <v>851</v>
      </c>
      <c r="C28" s="213" t="s">
        <v>961</v>
      </c>
      <c r="D28" s="285" t="s">
        <v>836</v>
      </c>
      <c r="E28" s="246" t="s">
        <v>34</v>
      </c>
      <c r="F28" s="286" t="s">
        <v>220</v>
      </c>
      <c r="G28" s="286">
        <f>VLOOKUP(D28,'3-Plano de Ações'!$D$2:$S$177,16,0)</f>
        <v>0</v>
      </c>
      <c r="H28" s="286" t="s">
        <v>1338</v>
      </c>
      <c r="I28" s="375" t="str">
        <f>VLOOKUP(D28,'3-Plano de Ações'!$D$3:$Q$170,14,0)</f>
        <v>Não Iniciado</v>
      </c>
      <c r="J28" s="294"/>
      <c r="K28" s="296">
        <v>64</v>
      </c>
      <c r="L28" s="357"/>
      <c r="M28" s="373">
        <v>50000</v>
      </c>
      <c r="N28" s="376">
        <v>43313</v>
      </c>
      <c r="O28" s="376">
        <v>43435</v>
      </c>
      <c r="P28" s="357"/>
      <c r="Q28" s="357"/>
      <c r="R28" s="368" t="s">
        <v>1310</v>
      </c>
      <c r="S28" s="370" t="str">
        <f t="shared" si="0"/>
        <v>A08.02 - Realizar aquisição de ferramen</v>
      </c>
      <c r="T28" s="371">
        <f t="shared" ca="1" si="1"/>
        <v>237</v>
      </c>
      <c r="U28" s="371">
        <f t="shared" ca="1" si="2"/>
        <v>359</v>
      </c>
    </row>
    <row r="29" spans="1:21" ht="50.1" customHeight="1" x14ac:dyDescent="0.25">
      <c r="A29" s="283" t="s">
        <v>32</v>
      </c>
      <c r="B29" s="284" t="s">
        <v>851</v>
      </c>
      <c r="C29" s="213" t="s">
        <v>961</v>
      </c>
      <c r="D29" s="285" t="s">
        <v>44</v>
      </c>
      <c r="E29" s="246" t="s">
        <v>842</v>
      </c>
      <c r="F29" s="286" t="s">
        <v>220</v>
      </c>
      <c r="G29" s="286">
        <f>VLOOKUP(D29,'3-Plano de Ações'!$D$2:$S$177,16,0)</f>
        <v>0</v>
      </c>
      <c r="H29" s="286" t="s">
        <v>1338</v>
      </c>
      <c r="I29" s="375" t="str">
        <f>VLOOKUP(D29,'3-Plano de Ações'!$D$3:$Q$170,14,0)</f>
        <v>Não Iniciado</v>
      </c>
      <c r="J29" s="294"/>
      <c r="K29" s="296">
        <v>65</v>
      </c>
      <c r="L29" s="357"/>
      <c r="M29" s="373">
        <v>50000</v>
      </c>
      <c r="N29" s="376">
        <v>43101</v>
      </c>
      <c r="O29" s="376">
        <v>43282</v>
      </c>
      <c r="P29" s="357"/>
      <c r="Q29" s="357"/>
      <c r="R29" s="368"/>
      <c r="S29" s="370" t="str">
        <f t="shared" si="0"/>
        <v>A08.12 - Contratação de Serviços de Man</v>
      </c>
      <c r="T29" s="371">
        <f t="shared" ca="1" si="1"/>
        <v>25</v>
      </c>
      <c r="U29" s="371">
        <f t="shared" ca="1" si="2"/>
        <v>206</v>
      </c>
    </row>
    <row r="30" spans="1:21" ht="50.1" customHeight="1" x14ac:dyDescent="0.25">
      <c r="A30" s="283" t="s">
        <v>50</v>
      </c>
      <c r="B30" s="284" t="s">
        <v>852</v>
      </c>
      <c r="C30" s="213" t="s">
        <v>51</v>
      </c>
      <c r="D30" s="285" t="s">
        <v>1045</v>
      </c>
      <c r="E30" s="246" t="s">
        <v>52</v>
      </c>
      <c r="F30" s="286" t="s">
        <v>220</v>
      </c>
      <c r="G30" s="286" t="str">
        <f>VLOOKUP(D30,'3-Plano de Ações'!$D$2:$S$177,16,0)</f>
        <v>Em dia</v>
      </c>
      <c r="H30" s="286" t="s">
        <v>1341</v>
      </c>
      <c r="I30" s="375" t="str">
        <f>VLOOKUP(D30,'3-Plano de Ações'!$D$3:$Q$170,14,0)</f>
        <v>Em andamento</v>
      </c>
      <c r="J30" s="294"/>
      <c r="K30" s="296">
        <v>4</v>
      </c>
      <c r="L30" s="357"/>
      <c r="M30" s="373"/>
      <c r="N30" s="376">
        <v>42736</v>
      </c>
      <c r="O30" s="376">
        <v>42948</v>
      </c>
      <c r="P30" s="357"/>
      <c r="Q30" s="357"/>
      <c r="R30" s="368"/>
      <c r="S30" s="370" t="str">
        <f t="shared" si="0"/>
        <v>A11.02 - Elaborar metodologia de gerenc</v>
      </c>
      <c r="T30" s="371">
        <f t="shared" ca="1" si="1"/>
        <v>-340</v>
      </c>
      <c r="U30" s="371">
        <f t="shared" ca="1" si="2"/>
        <v>-128</v>
      </c>
    </row>
    <row r="31" spans="1:21" ht="50.1" customHeight="1" x14ac:dyDescent="0.25">
      <c r="A31" s="283" t="s">
        <v>54</v>
      </c>
      <c r="B31" s="284" t="s">
        <v>853</v>
      </c>
      <c r="C31" s="213" t="s">
        <v>56</v>
      </c>
      <c r="D31" s="285" t="s">
        <v>1075</v>
      </c>
      <c r="E31" s="246" t="s">
        <v>814</v>
      </c>
      <c r="F31" s="286" t="s">
        <v>220</v>
      </c>
      <c r="G31" s="286">
        <f>VLOOKUP(D31,'3-Plano de Ações'!$D$2:$S$177,16,0)</f>
        <v>0</v>
      </c>
      <c r="H31" s="286" t="s">
        <v>1341</v>
      </c>
      <c r="I31" s="375" t="str">
        <f>VLOOKUP(D31,'3-Plano de Ações'!$D$3:$Q$170,14,0)</f>
        <v>Não Iniciado</v>
      </c>
      <c r="J31" s="294"/>
      <c r="K31" s="296">
        <v>66</v>
      </c>
      <c r="L31" s="357"/>
      <c r="M31" s="373"/>
      <c r="N31" s="376">
        <v>42736</v>
      </c>
      <c r="O31" s="376">
        <v>43435</v>
      </c>
      <c r="P31" s="357"/>
      <c r="Q31" s="357"/>
      <c r="R31" s="368"/>
      <c r="S31" s="370" t="str">
        <f t="shared" si="0"/>
        <v>A12.01 - Promover estudo sobre a necess</v>
      </c>
      <c r="T31" s="371">
        <f t="shared" ca="1" si="1"/>
        <v>-340</v>
      </c>
      <c r="U31" s="371">
        <f t="shared" ca="1" si="2"/>
        <v>359</v>
      </c>
    </row>
    <row r="32" spans="1:21" ht="50.1" customHeight="1" x14ac:dyDescent="0.25">
      <c r="A32" s="283" t="s">
        <v>57</v>
      </c>
      <c r="B32" s="284" t="s">
        <v>849</v>
      </c>
      <c r="C32" s="213" t="s">
        <v>58</v>
      </c>
      <c r="D32" s="285" t="s">
        <v>1012</v>
      </c>
      <c r="E32" s="246" t="s">
        <v>59</v>
      </c>
      <c r="F32" s="286" t="s">
        <v>380</v>
      </c>
      <c r="G32" s="286" t="str">
        <f>VLOOKUP(D32,'3-Plano de Ações'!$D$2:$S$177,16,0)</f>
        <v>2017-3</v>
      </c>
      <c r="H32" s="286" t="s">
        <v>1353</v>
      </c>
      <c r="I32" s="375" t="str">
        <f>VLOOKUP(D32,'3-Plano de Ações'!$D$3:$Q$170,14,0)</f>
        <v>Concluído</v>
      </c>
      <c r="J32" s="291"/>
      <c r="K32" s="297">
        <v>5</v>
      </c>
      <c r="L32" s="357"/>
      <c r="M32" s="373"/>
      <c r="N32" s="376">
        <v>42856</v>
      </c>
      <c r="O32" s="376">
        <v>42887</v>
      </c>
      <c r="P32" s="366" t="s">
        <v>1314</v>
      </c>
      <c r="Q32" s="357" t="s">
        <v>1297</v>
      </c>
      <c r="R32" s="368" t="s">
        <v>1272</v>
      </c>
      <c r="S32" s="370" t="str">
        <f t="shared" si="0"/>
        <v>A13.04 - Desenvolver projeto de evoluçã</v>
      </c>
      <c r="T32" s="371">
        <f t="shared" ca="1" si="1"/>
        <v>-220</v>
      </c>
      <c r="U32" s="371">
        <f t="shared" ca="1" si="2"/>
        <v>-189</v>
      </c>
    </row>
    <row r="33" spans="1:21" ht="50.1" customHeight="1" x14ac:dyDescent="0.25">
      <c r="A33" s="283" t="s">
        <v>60</v>
      </c>
      <c r="B33" s="284" t="s">
        <v>852</v>
      </c>
      <c r="C33" s="213" t="s">
        <v>61</v>
      </c>
      <c r="D33" s="285" t="s">
        <v>989</v>
      </c>
      <c r="E33" s="246" t="s">
        <v>62</v>
      </c>
      <c r="F33" s="286" t="s">
        <v>220</v>
      </c>
      <c r="G33" s="286">
        <f>VLOOKUP(D33,'3-Plano de Ações'!$D$2:$S$177,16,0)</f>
        <v>0</v>
      </c>
      <c r="H33" s="286" t="s">
        <v>1339</v>
      </c>
      <c r="I33" s="375" t="str">
        <f>VLOOKUP(D33,'3-Plano de Ações'!$D$3:$Q$170,14,0)</f>
        <v>Não Iniciado</v>
      </c>
      <c r="J33" s="291"/>
      <c r="K33" s="297">
        <v>67</v>
      </c>
      <c r="L33" s="357"/>
      <c r="M33" s="373">
        <v>50000</v>
      </c>
      <c r="N33" s="376">
        <v>43101</v>
      </c>
      <c r="O33" s="376">
        <v>43435</v>
      </c>
      <c r="P33" s="357"/>
      <c r="Q33" s="357"/>
      <c r="R33" s="368"/>
      <c r="S33" s="370" t="str">
        <f t="shared" si="0"/>
        <v xml:space="preserve">A14.01 - Avaliar a governança de TI do </v>
      </c>
      <c r="T33" s="371">
        <f t="shared" ca="1" si="1"/>
        <v>25</v>
      </c>
      <c r="U33" s="371">
        <f t="shared" ca="1" si="2"/>
        <v>359</v>
      </c>
    </row>
    <row r="34" spans="1:21" ht="50.1" customHeight="1" x14ac:dyDescent="0.25">
      <c r="A34" s="283" t="s">
        <v>60</v>
      </c>
      <c r="B34" s="284" t="s">
        <v>852</v>
      </c>
      <c r="C34" s="213" t="s">
        <v>61</v>
      </c>
      <c r="D34" s="285" t="s">
        <v>1076</v>
      </c>
      <c r="E34" s="246" t="s">
        <v>63</v>
      </c>
      <c r="F34" s="286" t="s">
        <v>220</v>
      </c>
      <c r="G34" s="286" t="str">
        <f>VLOOKUP(D34,'3-Plano de Ações'!$D$2:$S$177,16,0)</f>
        <v>Em dia</v>
      </c>
      <c r="H34" s="286" t="s">
        <v>1341</v>
      </c>
      <c r="I34" s="375" t="str">
        <f>VLOOKUP(D34,'3-Plano de Ações'!$D$3:$Q$170,14,0)</f>
        <v>Em andamento</v>
      </c>
      <c r="J34" s="291"/>
      <c r="K34" s="297">
        <v>6</v>
      </c>
      <c r="L34" s="357"/>
      <c r="M34" s="373"/>
      <c r="N34" s="376">
        <v>43101</v>
      </c>
      <c r="O34" s="376">
        <v>43282</v>
      </c>
      <c r="P34" s="357"/>
      <c r="Q34" s="357"/>
      <c r="R34" s="368"/>
      <c r="S34" s="370" t="str">
        <f t="shared" ref="S34:S66" si="3">CONCATENATE(D34, " - ", LEFT(E34,30))</f>
        <v>A14.02 - Promover o mapeamento de proce</v>
      </c>
      <c r="T34" s="371">
        <f t="shared" ref="T34:T66" ca="1" si="4">N34-TODAY()</f>
        <v>25</v>
      </c>
      <c r="U34" s="371">
        <f t="shared" ref="U34:U66" ca="1" si="5">O34-TODAY()</f>
        <v>206</v>
      </c>
    </row>
    <row r="35" spans="1:21" ht="50.1" customHeight="1" x14ac:dyDescent="0.25">
      <c r="A35" s="283" t="s">
        <v>60</v>
      </c>
      <c r="B35" s="284" t="s">
        <v>852</v>
      </c>
      <c r="C35" s="213" t="s">
        <v>61</v>
      </c>
      <c r="D35" s="285" t="s">
        <v>1061</v>
      </c>
      <c r="E35" s="246" t="s">
        <v>64</v>
      </c>
      <c r="F35" s="286" t="s">
        <v>220</v>
      </c>
      <c r="G35" s="286" t="str">
        <f>VLOOKUP(D35,'3-Plano de Ações'!$D$2:$S$177,16,0)</f>
        <v>Em dia</v>
      </c>
      <c r="H35" s="286" t="s">
        <v>1341</v>
      </c>
      <c r="I35" s="375" t="str">
        <f>VLOOKUP(D35,'3-Plano de Ações'!$D$3:$Q$170,14,0)</f>
        <v>Em andamento</v>
      </c>
      <c r="J35" s="291"/>
      <c r="K35" s="297">
        <v>7</v>
      </c>
      <c r="L35" s="357"/>
      <c r="M35" s="373"/>
      <c r="N35" s="376">
        <v>43313</v>
      </c>
      <c r="O35" s="376">
        <v>43435</v>
      </c>
      <c r="P35" s="357"/>
      <c r="Q35" s="357"/>
      <c r="R35" s="368"/>
      <c r="S35" s="370" t="str">
        <f t="shared" si="3"/>
        <v>A14.03 - Implantar processos de governa</v>
      </c>
      <c r="T35" s="371">
        <f t="shared" ca="1" si="4"/>
        <v>237</v>
      </c>
      <c r="U35" s="371">
        <f t="shared" ca="1" si="5"/>
        <v>359</v>
      </c>
    </row>
    <row r="36" spans="1:21" ht="50.1" customHeight="1" x14ac:dyDescent="0.25">
      <c r="A36" s="283" t="s">
        <v>65</v>
      </c>
      <c r="B36" s="284" t="s">
        <v>849</v>
      </c>
      <c r="C36" s="213" t="s">
        <v>66</v>
      </c>
      <c r="D36" s="285" t="s">
        <v>1051</v>
      </c>
      <c r="E36" s="246" t="s">
        <v>389</v>
      </c>
      <c r="F36" s="286" t="s">
        <v>220</v>
      </c>
      <c r="G36" s="286" t="str">
        <f>VLOOKUP(D36,'3-Plano de Ações'!$D$2:$S$177,16,0)</f>
        <v>2017-2</v>
      </c>
      <c r="H36" s="286" t="s">
        <v>1353</v>
      </c>
      <c r="I36" s="375" t="str">
        <f>VLOOKUP(D36,'3-Plano de Ações'!$D$3:$Q$170,14,0)</f>
        <v>Concluído</v>
      </c>
      <c r="J36" s="291"/>
      <c r="K36" s="297">
        <v>8</v>
      </c>
      <c r="L36" s="357"/>
      <c r="M36" s="373"/>
      <c r="N36" s="376">
        <v>42736</v>
      </c>
      <c r="O36" s="376">
        <v>42856</v>
      </c>
      <c r="P36" s="357"/>
      <c r="Q36" s="357"/>
      <c r="R36" s="368" t="s">
        <v>1273</v>
      </c>
      <c r="S36" s="370" t="str">
        <f t="shared" si="3"/>
        <v>A15.01 - Elaborar projeto de implantaçã</v>
      </c>
      <c r="T36" s="371">
        <f t="shared" ca="1" si="4"/>
        <v>-340</v>
      </c>
      <c r="U36" s="371">
        <f t="shared" ca="1" si="5"/>
        <v>-220</v>
      </c>
    </row>
    <row r="37" spans="1:21" ht="50.1" customHeight="1" x14ac:dyDescent="0.25">
      <c r="A37" s="283" t="s">
        <v>65</v>
      </c>
      <c r="B37" s="284" t="s">
        <v>849</v>
      </c>
      <c r="C37" s="213" t="s">
        <v>66</v>
      </c>
      <c r="D37" s="285" t="s">
        <v>986</v>
      </c>
      <c r="E37" s="246" t="s">
        <v>390</v>
      </c>
      <c r="F37" s="286" t="s">
        <v>376</v>
      </c>
      <c r="G37" s="286" t="str">
        <f>VLOOKUP(D37,'3-Plano de Ações'!$D$2:$S$177,16,0)</f>
        <v>2017-2</v>
      </c>
      <c r="H37" s="286" t="s">
        <v>1353</v>
      </c>
      <c r="I37" s="375" t="str">
        <f>VLOOKUP(D37,'3-Plano de Ações'!$D$3:$Q$170,14,0)</f>
        <v>Concluído</v>
      </c>
      <c r="J37" s="291"/>
      <c r="K37" s="297">
        <v>9</v>
      </c>
      <c r="L37" s="357"/>
      <c r="M37" s="373"/>
      <c r="N37" s="376">
        <v>42856</v>
      </c>
      <c r="O37" s="376">
        <v>42887</v>
      </c>
      <c r="P37" s="357"/>
      <c r="Q37" s="357"/>
      <c r="R37" s="368" t="s">
        <v>1273</v>
      </c>
      <c r="S37" s="370" t="str">
        <f t="shared" si="3"/>
        <v>A15.02 - Aprovar projeto de implantação</v>
      </c>
      <c r="T37" s="371">
        <f t="shared" ca="1" si="4"/>
        <v>-220</v>
      </c>
      <c r="U37" s="371">
        <f t="shared" ca="1" si="5"/>
        <v>-189</v>
      </c>
    </row>
    <row r="38" spans="1:21" ht="50.1" customHeight="1" x14ac:dyDescent="0.25">
      <c r="A38" s="283" t="s">
        <v>5</v>
      </c>
      <c r="B38" s="284" t="s">
        <v>851</v>
      </c>
      <c r="C38" s="213" t="s">
        <v>71</v>
      </c>
      <c r="D38" s="285" t="s">
        <v>76</v>
      </c>
      <c r="E38" s="246" t="s">
        <v>78</v>
      </c>
      <c r="F38" s="286" t="s">
        <v>825</v>
      </c>
      <c r="G38" s="286" t="str">
        <f>VLOOKUP(D38,'3-Plano de Ações'!$D$2:$S$177,16,0)</f>
        <v>2017-3</v>
      </c>
      <c r="H38" s="286" t="s">
        <v>1355</v>
      </c>
      <c r="I38" s="375" t="str">
        <f>VLOOKUP(D38,'3-Plano de Ações'!$D$3:$Q$170,14,0)</f>
        <v>Concluído</v>
      </c>
      <c r="J38" s="291"/>
      <c r="K38" s="297">
        <v>10</v>
      </c>
      <c r="L38" s="357"/>
      <c r="M38" s="373">
        <v>500000</v>
      </c>
      <c r="N38" s="376">
        <v>42856</v>
      </c>
      <c r="O38" s="376">
        <v>42948</v>
      </c>
      <c r="P38" s="357"/>
      <c r="Q38" s="357"/>
      <c r="R38" s="368"/>
      <c r="S38" s="370" t="str">
        <f t="shared" si="3"/>
        <v>A17.03 - Realizar aquisição de scanners</v>
      </c>
      <c r="T38" s="371">
        <f t="shared" ca="1" si="4"/>
        <v>-220</v>
      </c>
      <c r="U38" s="371">
        <f t="shared" ca="1" si="5"/>
        <v>-128</v>
      </c>
    </row>
    <row r="39" spans="1:21" ht="50.1" customHeight="1" x14ac:dyDescent="0.25">
      <c r="A39" s="283" t="s">
        <v>5</v>
      </c>
      <c r="B39" s="284" t="s">
        <v>851</v>
      </c>
      <c r="C39" s="213" t="s">
        <v>71</v>
      </c>
      <c r="D39" s="285" t="s">
        <v>77</v>
      </c>
      <c r="E39" s="246" t="s">
        <v>79</v>
      </c>
      <c r="F39" s="286" t="s">
        <v>220</v>
      </c>
      <c r="G39" s="286" t="str">
        <f>VLOOKUP(D39,'3-Plano de Ações'!$D$2:$S$177,16,0)</f>
        <v>Em dia</v>
      </c>
      <c r="H39" s="286" t="s">
        <v>1338</v>
      </c>
      <c r="I39" s="375" t="str">
        <f>VLOOKUP(D39,'3-Plano de Ações'!$D$3:$Q$170,14,0)</f>
        <v>Em andamento</v>
      </c>
      <c r="J39" s="291"/>
      <c r="K39" s="297">
        <v>68</v>
      </c>
      <c r="L39" s="357"/>
      <c r="M39" s="373">
        <v>500000</v>
      </c>
      <c r="N39" s="376">
        <v>43101</v>
      </c>
      <c r="O39" s="376">
        <v>43435</v>
      </c>
      <c r="P39" s="357"/>
      <c r="Q39" s="357"/>
      <c r="R39" s="368"/>
      <c r="S39" s="370" t="str">
        <f t="shared" si="3"/>
        <v>A17.04 - Realizar aquisição de Disposit</v>
      </c>
      <c r="T39" s="371">
        <f t="shared" ca="1" si="4"/>
        <v>25</v>
      </c>
      <c r="U39" s="371">
        <f t="shared" ca="1" si="5"/>
        <v>359</v>
      </c>
    </row>
    <row r="40" spans="1:21" ht="50.1" customHeight="1" x14ac:dyDescent="0.25">
      <c r="A40" s="283" t="s">
        <v>80</v>
      </c>
      <c r="B40" s="284" t="s">
        <v>850</v>
      </c>
      <c r="C40" s="213" t="s">
        <v>81</v>
      </c>
      <c r="D40" s="285" t="s">
        <v>1074</v>
      </c>
      <c r="E40" s="246" t="s">
        <v>82</v>
      </c>
      <c r="F40" s="286" t="s">
        <v>825</v>
      </c>
      <c r="G40" s="286" t="str">
        <f>VLOOKUP(D40,'3-Plano de Ações'!$D$2:$S$177,16,0)</f>
        <v>Ação Continuada</v>
      </c>
      <c r="H40" s="286" t="s">
        <v>1341</v>
      </c>
      <c r="I40" s="375" t="str">
        <f>VLOOKUP(D40,'3-Plano de Ações'!$D$3:$Q$170,14,0)</f>
        <v>Em andamento</v>
      </c>
      <c r="J40" s="291"/>
      <c r="K40" s="297">
        <v>11</v>
      </c>
      <c r="L40" s="357"/>
      <c r="M40" s="373"/>
      <c r="N40" s="376">
        <v>42948</v>
      </c>
      <c r="O40" s="376">
        <v>43435</v>
      </c>
      <c r="P40" s="357"/>
      <c r="Q40" s="357"/>
      <c r="R40" s="368"/>
      <c r="S40" s="370" t="str">
        <f t="shared" si="3"/>
        <v>A18.01 - Promover capacitação no uso de</v>
      </c>
      <c r="T40" s="371">
        <f t="shared" ca="1" si="4"/>
        <v>-128</v>
      </c>
      <c r="U40" s="371">
        <f t="shared" ca="1" si="5"/>
        <v>359</v>
      </c>
    </row>
    <row r="41" spans="1:21" ht="50.1" customHeight="1" x14ac:dyDescent="0.25">
      <c r="A41" s="283" t="s">
        <v>83</v>
      </c>
      <c r="B41" s="284" t="s">
        <v>852</v>
      </c>
      <c r="C41" s="213" t="s">
        <v>84</v>
      </c>
      <c r="D41" s="285" t="s">
        <v>990</v>
      </c>
      <c r="E41" s="246" t="s">
        <v>85</v>
      </c>
      <c r="F41" s="286" t="s">
        <v>220</v>
      </c>
      <c r="G41" s="286">
        <f>VLOOKUP(D41,'3-Plano de Ações'!$D$2:$S$177,16,0)</f>
        <v>0</v>
      </c>
      <c r="H41" s="286" t="s">
        <v>1339</v>
      </c>
      <c r="I41" s="375" t="str">
        <f>VLOOKUP(D41,'3-Plano de Ações'!$D$3:$Q$170,14,0)</f>
        <v>Não Iniciado</v>
      </c>
      <c r="J41" s="291"/>
      <c r="K41" s="297">
        <v>12</v>
      </c>
      <c r="L41" s="357"/>
      <c r="M41" s="373">
        <v>50000</v>
      </c>
      <c r="N41" s="376">
        <v>42948</v>
      </c>
      <c r="O41" s="376">
        <v>43070</v>
      </c>
      <c r="P41" s="357"/>
      <c r="Q41" s="357"/>
      <c r="R41" s="368"/>
      <c r="S41" s="370" t="str">
        <f t="shared" si="3"/>
        <v>A19.01 - Avaliar a segurança da informa</v>
      </c>
      <c r="T41" s="371">
        <f t="shared" ca="1" si="4"/>
        <v>-128</v>
      </c>
      <c r="U41" s="371">
        <f t="shared" ca="1" si="5"/>
        <v>-6</v>
      </c>
    </row>
    <row r="42" spans="1:21" ht="50.1" customHeight="1" x14ac:dyDescent="0.25">
      <c r="A42" s="283" t="s">
        <v>83</v>
      </c>
      <c r="B42" s="284" t="s">
        <v>852</v>
      </c>
      <c r="C42" s="213" t="s">
        <v>84</v>
      </c>
      <c r="D42" s="285" t="s">
        <v>1089</v>
      </c>
      <c r="E42" s="246" t="s">
        <v>86</v>
      </c>
      <c r="F42" s="286" t="s">
        <v>220</v>
      </c>
      <c r="G42" s="286">
        <f>VLOOKUP(D42,'3-Plano de Ações'!$D$2:$S$177,16,0)</f>
        <v>0</v>
      </c>
      <c r="H42" s="286" t="s">
        <v>1341</v>
      </c>
      <c r="I42" s="375" t="str">
        <f>VLOOKUP(D42,'3-Plano de Ações'!$D$3:$Q$170,14,0)</f>
        <v>Não Iniciado</v>
      </c>
      <c r="J42" s="291"/>
      <c r="K42" s="297">
        <v>13</v>
      </c>
      <c r="L42" s="357"/>
      <c r="M42" s="373"/>
      <c r="N42" s="376">
        <v>42948</v>
      </c>
      <c r="O42" s="376">
        <v>43070</v>
      </c>
      <c r="P42" s="357"/>
      <c r="Q42" s="357"/>
      <c r="R42" s="368"/>
      <c r="S42" s="370" t="str">
        <f t="shared" si="3"/>
        <v>A19.02 - Revisar e implantar a Política</v>
      </c>
      <c r="T42" s="371">
        <f t="shared" ca="1" si="4"/>
        <v>-128</v>
      </c>
      <c r="U42" s="371">
        <f t="shared" ca="1" si="5"/>
        <v>-6</v>
      </c>
    </row>
    <row r="43" spans="1:21" ht="50.1" customHeight="1" x14ac:dyDescent="0.25">
      <c r="A43" s="283" t="s">
        <v>83</v>
      </c>
      <c r="B43" s="284" t="s">
        <v>852</v>
      </c>
      <c r="C43" s="213" t="s">
        <v>84</v>
      </c>
      <c r="D43" s="285" t="s">
        <v>995</v>
      </c>
      <c r="E43" s="246" t="s">
        <v>87</v>
      </c>
      <c r="F43" s="286" t="s">
        <v>220</v>
      </c>
      <c r="G43" s="286">
        <f>VLOOKUP(D43,'3-Plano de Ações'!$D$2:$S$177,16,0)</f>
        <v>0</v>
      </c>
      <c r="H43" s="286" t="s">
        <v>1341</v>
      </c>
      <c r="I43" s="375" t="str">
        <f>VLOOKUP(D43,'3-Plano de Ações'!$D$3:$Q$170,14,0)</f>
        <v>Não Iniciado</v>
      </c>
      <c r="J43" s="291"/>
      <c r="K43" s="297">
        <v>14</v>
      </c>
      <c r="L43" s="357"/>
      <c r="M43" s="373"/>
      <c r="N43" s="376">
        <v>42948</v>
      </c>
      <c r="O43" s="376">
        <v>43070</v>
      </c>
      <c r="P43" s="357"/>
      <c r="Q43" s="357"/>
      <c r="R43" s="368"/>
      <c r="S43" s="370" t="str">
        <f t="shared" si="3"/>
        <v>A19.03 - Constituir grupo de trabalho d</v>
      </c>
      <c r="T43" s="371">
        <f t="shared" ca="1" si="4"/>
        <v>-128</v>
      </c>
      <c r="U43" s="371">
        <f t="shared" ca="1" si="5"/>
        <v>-6</v>
      </c>
    </row>
    <row r="44" spans="1:21" ht="50.1" customHeight="1" x14ac:dyDescent="0.25">
      <c r="A44" s="283" t="s">
        <v>83</v>
      </c>
      <c r="B44" s="284" t="s">
        <v>852</v>
      </c>
      <c r="C44" s="213" t="s">
        <v>84</v>
      </c>
      <c r="D44" s="285" t="s">
        <v>1042</v>
      </c>
      <c r="E44" s="246" t="s">
        <v>88</v>
      </c>
      <c r="F44" s="286" t="s">
        <v>220</v>
      </c>
      <c r="G44" s="286">
        <f>VLOOKUP(D44,'3-Plano de Ações'!$D$2:$S$177,16,0)</f>
        <v>0</v>
      </c>
      <c r="H44" s="286" t="s">
        <v>1341</v>
      </c>
      <c r="I44" s="375" t="str">
        <f>VLOOKUP(D44,'3-Plano de Ações'!$D$3:$Q$170,14,0)</f>
        <v>Não Iniciado</v>
      </c>
      <c r="J44" s="291"/>
      <c r="K44" s="297">
        <v>15</v>
      </c>
      <c r="L44" s="357"/>
      <c r="M44" s="373"/>
      <c r="N44" s="376">
        <v>42948</v>
      </c>
      <c r="O44" s="376">
        <v>43070</v>
      </c>
      <c r="P44" s="357"/>
      <c r="Q44" s="357"/>
      <c r="R44" s="368"/>
      <c r="S44" s="370" t="str">
        <f t="shared" si="3"/>
        <v>A19.04 - Elaborar e implantar normas co</v>
      </c>
      <c r="T44" s="371">
        <f t="shared" ca="1" si="4"/>
        <v>-128</v>
      </c>
      <c r="U44" s="371">
        <f t="shared" ca="1" si="5"/>
        <v>-6</v>
      </c>
    </row>
    <row r="45" spans="1:21" ht="50.1" customHeight="1" x14ac:dyDescent="0.25">
      <c r="A45" s="283" t="s">
        <v>83</v>
      </c>
      <c r="B45" s="284" t="s">
        <v>852</v>
      </c>
      <c r="C45" s="213" t="s">
        <v>84</v>
      </c>
      <c r="D45" s="285" t="s">
        <v>1081</v>
      </c>
      <c r="E45" s="246" t="s">
        <v>89</v>
      </c>
      <c r="F45" s="286" t="s">
        <v>220</v>
      </c>
      <c r="G45" s="286" t="str">
        <f>VLOOKUP(D45,'3-Plano de Ações'!$D$2:$S$177,16,0)</f>
        <v>Prioridade Revista</v>
      </c>
      <c r="H45" s="286" t="s">
        <v>1341</v>
      </c>
      <c r="I45" s="375" t="str">
        <f>VLOOKUP(D45,'3-Plano de Ações'!$D$3:$Q$170,14,0)</f>
        <v>Não Iniciado</v>
      </c>
      <c r="J45" s="294"/>
      <c r="K45" s="296">
        <v>69</v>
      </c>
      <c r="L45" s="357"/>
      <c r="M45" s="373"/>
      <c r="N45" s="376">
        <v>42948</v>
      </c>
      <c r="O45" s="376">
        <v>43313</v>
      </c>
      <c r="P45" s="357"/>
      <c r="Q45" s="357"/>
      <c r="R45" s="368"/>
      <c r="S45" s="370" t="str">
        <f t="shared" si="3"/>
        <v>A19.07 - Realizar ações de conscientiza</v>
      </c>
      <c r="T45" s="371">
        <f t="shared" ca="1" si="4"/>
        <v>-128</v>
      </c>
      <c r="U45" s="371">
        <f t="shared" ca="1" si="5"/>
        <v>237</v>
      </c>
    </row>
    <row r="46" spans="1:21" ht="50.1" customHeight="1" x14ac:dyDescent="0.25">
      <c r="A46" s="283" t="s">
        <v>7</v>
      </c>
      <c r="B46" s="284" t="s">
        <v>853</v>
      </c>
      <c r="C46" s="213" t="s">
        <v>90</v>
      </c>
      <c r="D46" s="285" t="s">
        <v>91</v>
      </c>
      <c r="E46" s="246" t="s">
        <v>815</v>
      </c>
      <c r="F46" s="286" t="s">
        <v>220</v>
      </c>
      <c r="G46" s="286" t="str">
        <f>VLOOKUP(D46,'3-Plano de Ações'!$D$2:$S$177,16,0)</f>
        <v>Ação Continuada</v>
      </c>
      <c r="H46" s="286" t="s">
        <v>1341</v>
      </c>
      <c r="I46" s="375" t="str">
        <f>VLOOKUP(D46,'3-Plano de Ações'!$D$3:$Q$170,14,0)</f>
        <v>Em andamento</v>
      </c>
      <c r="J46" s="294"/>
      <c r="K46" s="296">
        <v>16</v>
      </c>
      <c r="L46" s="357"/>
      <c r="M46" s="373"/>
      <c r="N46" s="376">
        <v>42887</v>
      </c>
      <c r="O46" s="376">
        <v>43435</v>
      </c>
      <c r="P46" s="357"/>
      <c r="Q46" s="357"/>
      <c r="R46" s="368"/>
      <c r="S46" s="370" t="str">
        <f t="shared" si="3"/>
        <v xml:space="preserve">A20.01 - Executar plano de Capacitação </v>
      </c>
      <c r="T46" s="371">
        <f t="shared" ca="1" si="4"/>
        <v>-189</v>
      </c>
      <c r="U46" s="371">
        <f t="shared" ca="1" si="5"/>
        <v>359</v>
      </c>
    </row>
    <row r="47" spans="1:21" ht="50.1" customHeight="1" x14ac:dyDescent="0.25">
      <c r="A47" s="283" t="s">
        <v>92</v>
      </c>
      <c r="B47" s="284" t="s">
        <v>849</v>
      </c>
      <c r="C47" s="213" t="s">
        <v>93</v>
      </c>
      <c r="D47" s="285" t="s">
        <v>1005</v>
      </c>
      <c r="E47" s="246" t="s">
        <v>785</v>
      </c>
      <c r="F47" s="286" t="s">
        <v>380</v>
      </c>
      <c r="G47" s="286" t="str">
        <f>VLOOKUP(D47,'3-Plano de Ações'!$D$2:$S$177,16,0)</f>
        <v>2017-2</v>
      </c>
      <c r="H47" s="286" t="s">
        <v>1354</v>
      </c>
      <c r="I47" s="375" t="str">
        <f>VLOOKUP(D47,'3-Plano de Ações'!$D$3:$Q$170,14,0)</f>
        <v>Concluído</v>
      </c>
      <c r="J47" s="294"/>
      <c r="K47" s="296">
        <v>17</v>
      </c>
      <c r="L47" s="357"/>
      <c r="M47" s="373"/>
      <c r="N47" s="376">
        <v>42856</v>
      </c>
      <c r="O47" s="376">
        <v>42887</v>
      </c>
      <c r="P47" s="366" t="s">
        <v>1315</v>
      </c>
      <c r="Q47" s="366"/>
      <c r="R47" s="368" t="s">
        <v>1294</v>
      </c>
      <c r="S47" s="370" t="str">
        <f t="shared" si="3"/>
        <v>A21.04 - Desenvolver módulo de relatóri</v>
      </c>
      <c r="T47" s="371">
        <f t="shared" ca="1" si="4"/>
        <v>-220</v>
      </c>
      <c r="U47" s="371">
        <f t="shared" ca="1" si="5"/>
        <v>-189</v>
      </c>
    </row>
    <row r="48" spans="1:21" ht="50.1" customHeight="1" x14ac:dyDescent="0.25">
      <c r="A48" s="283" t="s">
        <v>97</v>
      </c>
      <c r="B48" s="284" t="s">
        <v>849</v>
      </c>
      <c r="C48" s="213" t="s">
        <v>819</v>
      </c>
      <c r="D48" s="285" t="s">
        <v>1003</v>
      </c>
      <c r="E48" s="246" t="s">
        <v>1091</v>
      </c>
      <c r="F48" s="286" t="s">
        <v>380</v>
      </c>
      <c r="G48" s="286" t="str">
        <f>VLOOKUP(D48,'3-Plano de Ações'!$D$2:$S$177,16,0)</f>
        <v>2017-3</v>
      </c>
      <c r="H48" s="286" t="s">
        <v>1362</v>
      </c>
      <c r="I48" s="375" t="str">
        <f>VLOOKUP(D48,'3-Plano de Ações'!$D$3:$Q$170,14,0)</f>
        <v>Não Iniciado</v>
      </c>
      <c r="J48" s="294"/>
      <c r="K48" s="296">
        <v>70</v>
      </c>
      <c r="L48" s="357"/>
      <c r="M48" s="373"/>
      <c r="N48" s="377">
        <v>43313</v>
      </c>
      <c r="O48" s="377">
        <v>43405</v>
      </c>
      <c r="P48" s="357" t="s">
        <v>1326</v>
      </c>
      <c r="Q48" s="357"/>
      <c r="R48" s="368" t="s">
        <v>1281</v>
      </c>
      <c r="S48" s="370" t="str">
        <f t="shared" si="3"/>
        <v>A23.01 - Desenvolver a adequação necess</v>
      </c>
      <c r="T48" s="371">
        <f t="shared" ca="1" si="4"/>
        <v>237</v>
      </c>
      <c r="U48" s="371">
        <f t="shared" ca="1" si="5"/>
        <v>329</v>
      </c>
    </row>
    <row r="49" spans="1:21" ht="50.1" customHeight="1" x14ac:dyDescent="0.25">
      <c r="A49" s="283" t="s">
        <v>98</v>
      </c>
      <c r="B49" s="284" t="s">
        <v>851</v>
      </c>
      <c r="C49" s="213" t="s">
        <v>811</v>
      </c>
      <c r="D49" s="285" t="s">
        <v>837</v>
      </c>
      <c r="E49" s="246" t="s">
        <v>100</v>
      </c>
      <c r="F49" s="286" t="s">
        <v>220</v>
      </c>
      <c r="G49" s="286" t="str">
        <f>VLOOKUP(D49,'3-Plano de Ações'!$D$2:$S$177,16,0)</f>
        <v>2017-3</v>
      </c>
      <c r="H49" s="286" t="s">
        <v>1338</v>
      </c>
      <c r="I49" s="375" t="str">
        <f>VLOOKUP(D49,'3-Plano de Ações'!$D$3:$Q$170,14,0)</f>
        <v>Concluído</v>
      </c>
      <c r="J49" s="294"/>
      <c r="K49" s="296">
        <v>18</v>
      </c>
      <c r="L49" s="357"/>
      <c r="M49" s="373">
        <v>0</v>
      </c>
      <c r="N49" s="376">
        <v>42736</v>
      </c>
      <c r="O49" s="376">
        <v>43435</v>
      </c>
      <c r="P49" s="357"/>
      <c r="Q49" s="357"/>
      <c r="R49" s="368"/>
      <c r="S49" s="370" t="str">
        <f t="shared" si="3"/>
        <v>A24.04 - Realizar a adequação da infrae</v>
      </c>
      <c r="T49" s="371">
        <f t="shared" ca="1" si="4"/>
        <v>-340</v>
      </c>
      <c r="U49" s="371">
        <f t="shared" ca="1" si="5"/>
        <v>359</v>
      </c>
    </row>
    <row r="50" spans="1:21" ht="50.1" customHeight="1" x14ac:dyDescent="0.25">
      <c r="A50" s="283" t="s">
        <v>101</v>
      </c>
      <c r="B50" s="284" t="s">
        <v>849</v>
      </c>
      <c r="C50" s="213" t="s">
        <v>102</v>
      </c>
      <c r="D50" s="285" t="s">
        <v>1020</v>
      </c>
      <c r="E50" s="246" t="s">
        <v>103</v>
      </c>
      <c r="F50" s="286" t="s">
        <v>380</v>
      </c>
      <c r="G50" s="286">
        <f>VLOOKUP(D50,'3-Plano de Ações'!$D$2:$S$177,16,0)</f>
        <v>0</v>
      </c>
      <c r="H50" s="286" t="s">
        <v>1340</v>
      </c>
      <c r="I50" s="375" t="str">
        <f>VLOOKUP(D50,'3-Plano de Ações'!$D$3:$Q$170,14,0)</f>
        <v>Não Iniciado</v>
      </c>
      <c r="J50" s="294"/>
      <c r="K50" s="296">
        <v>71</v>
      </c>
      <c r="L50" s="357"/>
      <c r="M50" s="373"/>
      <c r="N50" s="376">
        <v>43101</v>
      </c>
      <c r="O50" s="376">
        <v>43435</v>
      </c>
      <c r="P50" s="357"/>
      <c r="Q50" s="357"/>
      <c r="R50" s="368" t="s">
        <v>1282</v>
      </c>
      <c r="S50" s="370" t="str">
        <f t="shared" si="3"/>
        <v xml:space="preserve">A25.01 - Desenvolver sistema de gestão </v>
      </c>
      <c r="T50" s="371">
        <f t="shared" ca="1" si="4"/>
        <v>25</v>
      </c>
      <c r="U50" s="371">
        <f t="shared" ca="1" si="5"/>
        <v>359</v>
      </c>
    </row>
    <row r="51" spans="1:21" ht="50.1" customHeight="1" x14ac:dyDescent="0.25">
      <c r="A51" s="287" t="s">
        <v>104</v>
      </c>
      <c r="B51" s="286" t="s">
        <v>849</v>
      </c>
      <c r="C51" s="246" t="s">
        <v>1151</v>
      </c>
      <c r="D51" s="292" t="s">
        <v>1121</v>
      </c>
      <c r="E51" s="276" t="s">
        <v>1122</v>
      </c>
      <c r="F51" s="288" t="s">
        <v>380</v>
      </c>
      <c r="G51" s="286" t="str">
        <f>VLOOKUP(D51,'3-Plano de Ações'!$D$2:$S$177,16,0)</f>
        <v>2017-3</v>
      </c>
      <c r="H51" s="286" t="s">
        <v>1363</v>
      </c>
      <c r="I51" s="375" t="str">
        <f>VLOOKUP(D51,'3-Plano de Ações'!$D$3:$Q$170,14,0)</f>
        <v>Concluído</v>
      </c>
      <c r="J51" s="294"/>
      <c r="K51" s="296">
        <v>72</v>
      </c>
      <c r="L51" s="357"/>
      <c r="M51" s="373"/>
      <c r="N51" s="376">
        <v>43101</v>
      </c>
      <c r="O51" s="376">
        <v>43191</v>
      </c>
      <c r="P51" s="365" t="s">
        <v>1320</v>
      </c>
      <c r="Q51" s="365" t="s">
        <v>1299</v>
      </c>
      <c r="R51" s="368" t="s">
        <v>1283</v>
      </c>
      <c r="S51" s="370" t="str">
        <f t="shared" si="3"/>
        <v>A26.03 - Contratar/Desenvolver com equi</v>
      </c>
      <c r="T51" s="371">
        <f t="shared" ca="1" si="4"/>
        <v>25</v>
      </c>
      <c r="U51" s="371">
        <f t="shared" ca="1" si="5"/>
        <v>115</v>
      </c>
    </row>
    <row r="52" spans="1:21" ht="50.1" customHeight="1" x14ac:dyDescent="0.25">
      <c r="A52" s="287" t="s">
        <v>104</v>
      </c>
      <c r="B52" s="286" t="s">
        <v>849</v>
      </c>
      <c r="C52" s="246" t="s">
        <v>1151</v>
      </c>
      <c r="D52" s="292" t="s">
        <v>1397</v>
      </c>
      <c r="E52" s="276" t="s">
        <v>1396</v>
      </c>
      <c r="F52" s="288" t="s">
        <v>380</v>
      </c>
      <c r="G52" s="286" t="str">
        <f>VLOOKUP(D52,'3-Plano de Ações'!$D$2:$S$177,16,0)</f>
        <v>Revisão 2017-1 - Ação Nova</v>
      </c>
      <c r="H52" s="286" t="s">
        <v>1363</v>
      </c>
      <c r="I52" s="375" t="str">
        <f>VLOOKUP(D52,'3-Plano de Ações'!$D$3:$Q$170,14,0)</f>
        <v>Não Iniciado</v>
      </c>
      <c r="J52" s="294"/>
      <c r="K52" s="296"/>
      <c r="L52" s="357"/>
      <c r="M52" s="373"/>
      <c r="N52" s="376"/>
      <c r="O52" s="376"/>
      <c r="P52" s="365"/>
      <c r="Q52" s="365"/>
      <c r="R52" s="368"/>
      <c r="S52" s="370" t="str">
        <f t="shared" si="3"/>
        <v>A26.05 - Promover soluções que utilizem</v>
      </c>
      <c r="T52" s="371"/>
      <c r="U52" s="371"/>
    </row>
    <row r="53" spans="1:21" ht="50.1" customHeight="1" x14ac:dyDescent="0.25">
      <c r="A53" s="287" t="s">
        <v>104</v>
      </c>
      <c r="B53" s="286" t="s">
        <v>849</v>
      </c>
      <c r="C53" s="246" t="s">
        <v>1151</v>
      </c>
      <c r="D53" s="292" t="s">
        <v>1124</v>
      </c>
      <c r="E53" s="276" t="s">
        <v>1159</v>
      </c>
      <c r="F53" s="288" t="s">
        <v>380</v>
      </c>
      <c r="G53" s="286" t="str">
        <f>VLOOKUP(D53,'3-Plano de Ações'!$D$2:$S$177,16,0)</f>
        <v>Revisão 2017-1 - Ação Nova</v>
      </c>
      <c r="H53" s="286" t="s">
        <v>1363</v>
      </c>
      <c r="I53" s="375" t="str">
        <f>VLOOKUP(D53,'3-Plano de Ações'!$D$3:$Q$170,14,0)</f>
        <v>Não Iniciado</v>
      </c>
      <c r="J53" s="294"/>
      <c r="K53" s="296">
        <v>73</v>
      </c>
      <c r="L53" s="357"/>
      <c r="M53" s="373">
        <v>1500000</v>
      </c>
      <c r="N53" s="376">
        <v>43009</v>
      </c>
      <c r="O53" s="376">
        <v>43070</v>
      </c>
      <c r="P53" s="366" t="s">
        <v>1327</v>
      </c>
      <c r="Q53" s="357"/>
      <c r="R53" s="368" t="s">
        <v>1331</v>
      </c>
      <c r="S53" s="370" t="str">
        <f t="shared" si="3"/>
        <v>A26.06 - Viabilizar ferramenta para pes</v>
      </c>
      <c r="T53" s="371">
        <f t="shared" ca="1" si="4"/>
        <v>-67</v>
      </c>
      <c r="U53" s="371">
        <f t="shared" ca="1" si="5"/>
        <v>-6</v>
      </c>
    </row>
    <row r="54" spans="1:21" ht="50.1" customHeight="1" x14ac:dyDescent="0.25">
      <c r="A54" s="283" t="s">
        <v>108</v>
      </c>
      <c r="B54" s="284" t="s">
        <v>849</v>
      </c>
      <c r="C54" s="213" t="s">
        <v>109</v>
      </c>
      <c r="D54" s="285" t="s">
        <v>1011</v>
      </c>
      <c r="E54" s="246" t="s">
        <v>110</v>
      </c>
      <c r="F54" s="286" t="s">
        <v>380</v>
      </c>
      <c r="G54" s="286" t="str">
        <f>VLOOKUP(D54,'3-Plano de Ações'!$D$2:$S$177,16,0)</f>
        <v>Em dia</v>
      </c>
      <c r="H54" s="286" t="s">
        <v>1342</v>
      </c>
      <c r="I54" s="375" t="str">
        <f>VLOOKUP(D54,'3-Plano de Ações'!$D$3:$Q$170,14,0)</f>
        <v>Em andamento</v>
      </c>
      <c r="J54" s="294"/>
      <c r="K54" s="296">
        <v>74</v>
      </c>
      <c r="L54" s="357"/>
      <c r="M54" s="373"/>
      <c r="N54" s="377">
        <v>42948</v>
      </c>
      <c r="O54" s="377">
        <v>43040</v>
      </c>
      <c r="P54" s="366" t="s">
        <v>1319</v>
      </c>
      <c r="Q54" s="357"/>
      <c r="R54" s="368" t="s">
        <v>1284</v>
      </c>
      <c r="S54" s="370" t="str">
        <f t="shared" si="3"/>
        <v>A28.01 - Desenvolver projeto de divulga</v>
      </c>
      <c r="T54" s="371">
        <f t="shared" ca="1" si="4"/>
        <v>-128</v>
      </c>
      <c r="U54" s="371">
        <f t="shared" ca="1" si="5"/>
        <v>-36</v>
      </c>
    </row>
    <row r="55" spans="1:21" ht="50.1" customHeight="1" x14ac:dyDescent="0.25">
      <c r="A55" s="283" t="s">
        <v>111</v>
      </c>
      <c r="B55" s="284" t="s">
        <v>849</v>
      </c>
      <c r="C55" s="213" t="s">
        <v>112</v>
      </c>
      <c r="D55" s="285" t="s">
        <v>1087</v>
      </c>
      <c r="E55" s="246" t="s">
        <v>113</v>
      </c>
      <c r="F55" s="286" t="s">
        <v>380</v>
      </c>
      <c r="G55" s="286" t="str">
        <f>VLOOKUP(D55,'3-Plano de Ações'!$D$2:$S$177,16,0)</f>
        <v>Em dia</v>
      </c>
      <c r="H55" s="286" t="s">
        <v>1339</v>
      </c>
      <c r="I55" s="375" t="str">
        <f>VLOOKUP(D55,'3-Plano de Ações'!$D$3:$Q$170,14,0)</f>
        <v>Em andamento</v>
      </c>
      <c r="J55" s="294"/>
      <c r="K55" s="296">
        <v>75</v>
      </c>
      <c r="L55" s="357"/>
      <c r="M55" s="373">
        <v>50000</v>
      </c>
      <c r="N55" s="376">
        <v>43101</v>
      </c>
      <c r="O55" s="376">
        <v>43221</v>
      </c>
      <c r="P55" s="366" t="s">
        <v>1328</v>
      </c>
      <c r="Q55" s="357"/>
      <c r="R55" s="368" t="s">
        <v>1329</v>
      </c>
      <c r="S55" s="370" t="str">
        <f t="shared" si="3"/>
        <v>A29.01 - Realizar manutenção dos sistem</v>
      </c>
      <c r="T55" s="371">
        <f t="shared" ca="1" si="4"/>
        <v>25</v>
      </c>
      <c r="U55" s="371">
        <f t="shared" ca="1" si="5"/>
        <v>145</v>
      </c>
    </row>
    <row r="56" spans="1:21" ht="50.1" customHeight="1" x14ac:dyDescent="0.25">
      <c r="A56" s="283" t="s">
        <v>114</v>
      </c>
      <c r="B56" s="284" t="s">
        <v>849</v>
      </c>
      <c r="C56" s="213" t="s">
        <v>115</v>
      </c>
      <c r="D56" s="91" t="s">
        <v>1080</v>
      </c>
      <c r="E56" s="246" t="s">
        <v>116</v>
      </c>
      <c r="F56" s="286" t="s">
        <v>376</v>
      </c>
      <c r="G56" s="286" t="str">
        <f>VLOOKUP(D56,'3-Plano de Ações'!$D$2:$S$177,16,0)</f>
        <v>Prioridade Revista</v>
      </c>
      <c r="H56" s="286" t="s">
        <v>1360</v>
      </c>
      <c r="I56" s="375" t="str">
        <f>VLOOKUP(D56,'3-Plano de Ações'!$D$3:$Q$170,14,0)</f>
        <v>Não Iniciado</v>
      </c>
      <c r="J56" s="294"/>
      <c r="K56" s="296">
        <v>76</v>
      </c>
      <c r="L56" s="357"/>
      <c r="M56" s="373"/>
      <c r="N56" s="376">
        <v>43313</v>
      </c>
      <c r="O56" s="376">
        <v>43435</v>
      </c>
      <c r="P56" s="357"/>
      <c r="Q56" s="357"/>
      <c r="R56" s="368" t="s">
        <v>1285</v>
      </c>
      <c r="S56" s="370" t="str">
        <f t="shared" si="3"/>
        <v>A30.01 - Realizar a implantação do sist</v>
      </c>
      <c r="T56" s="371">
        <f t="shared" ca="1" si="4"/>
        <v>237</v>
      </c>
      <c r="U56" s="371">
        <f t="shared" ca="1" si="5"/>
        <v>359</v>
      </c>
    </row>
    <row r="57" spans="1:21" ht="50.1" customHeight="1" x14ac:dyDescent="0.25">
      <c r="A57" s="283" t="s">
        <v>117</v>
      </c>
      <c r="B57" s="284" t="s">
        <v>849</v>
      </c>
      <c r="C57" s="213" t="s">
        <v>118</v>
      </c>
      <c r="D57" s="285" t="s">
        <v>1016</v>
      </c>
      <c r="E57" s="317" t="s">
        <v>119</v>
      </c>
      <c r="F57" s="286" t="s">
        <v>380</v>
      </c>
      <c r="G57" s="286" t="str">
        <f>VLOOKUP(D57,'3-Plano de Ações'!$D$2:$S$177,16,0)</f>
        <v>Ação Continuada</v>
      </c>
      <c r="H57" s="286" t="s">
        <v>1358</v>
      </c>
      <c r="I57" s="375" t="str">
        <f>VLOOKUP(D57,'3-Plano de Ações'!$D$3:$Q$170,14,0)</f>
        <v>Em andamento</v>
      </c>
      <c r="J57" s="294"/>
      <c r="K57" s="296">
        <v>19</v>
      </c>
      <c r="L57" s="357"/>
      <c r="M57" s="373"/>
      <c r="N57" s="376">
        <v>43101</v>
      </c>
      <c r="O57" s="376">
        <v>43221</v>
      </c>
      <c r="P57" s="366"/>
      <c r="Q57" s="357"/>
      <c r="R57" s="368" t="s">
        <v>1295</v>
      </c>
      <c r="S57" s="370" t="str">
        <f t="shared" si="3"/>
        <v>A31.02 - Desenvolver projeto de melhori</v>
      </c>
      <c r="T57" s="371">
        <f t="shared" ca="1" si="4"/>
        <v>25</v>
      </c>
      <c r="U57" s="371">
        <f t="shared" ca="1" si="5"/>
        <v>145</v>
      </c>
    </row>
    <row r="58" spans="1:21" ht="50.1" customHeight="1" x14ac:dyDescent="0.25">
      <c r="A58" s="287" t="s">
        <v>117</v>
      </c>
      <c r="B58" s="286" t="s">
        <v>849</v>
      </c>
      <c r="C58" s="246" t="s">
        <v>118</v>
      </c>
      <c r="D58" s="292" t="s">
        <v>1155</v>
      </c>
      <c r="E58" s="276" t="s">
        <v>1156</v>
      </c>
      <c r="F58" s="288" t="s">
        <v>380</v>
      </c>
      <c r="G58" s="286" t="str">
        <f>VLOOKUP(D58,'3-Plano de Ações'!$D$2:$S$177,16,0)</f>
        <v>2017-3</v>
      </c>
      <c r="H58" s="286" t="s">
        <v>1342</v>
      </c>
      <c r="I58" s="375" t="str">
        <f>VLOOKUP(D58,'3-Plano de Ações'!$D$3:$Q$170,14,0)</f>
        <v>Concluído</v>
      </c>
      <c r="J58" s="294"/>
      <c r="K58" s="296">
        <v>77</v>
      </c>
      <c r="L58" s="357"/>
      <c r="M58" s="373"/>
      <c r="N58" s="376">
        <v>42979</v>
      </c>
      <c r="O58" s="376">
        <v>43070</v>
      </c>
      <c r="P58" s="357"/>
      <c r="Q58" s="357"/>
      <c r="R58" s="368" t="s">
        <v>1286</v>
      </c>
      <c r="S58" s="370" t="str">
        <f t="shared" si="3"/>
        <v>A31.07 - Desenvolver portal da Diretori</v>
      </c>
      <c r="T58" s="371">
        <f t="shared" ca="1" si="4"/>
        <v>-97</v>
      </c>
      <c r="U58" s="371">
        <f t="shared" ca="1" si="5"/>
        <v>-6</v>
      </c>
    </row>
    <row r="59" spans="1:21" ht="50.1" customHeight="1" x14ac:dyDescent="0.25">
      <c r="A59" s="283" t="s">
        <v>127</v>
      </c>
      <c r="B59" s="284" t="s">
        <v>852</v>
      </c>
      <c r="C59" s="213" t="s">
        <v>128</v>
      </c>
      <c r="D59" s="285" t="s">
        <v>1047</v>
      </c>
      <c r="E59" s="246" t="s">
        <v>129</v>
      </c>
      <c r="F59" s="286" t="s">
        <v>220</v>
      </c>
      <c r="G59" s="286">
        <f>VLOOKUP(D59,'3-Plano de Ações'!$D$2:$S$177,16,0)</f>
        <v>0</v>
      </c>
      <c r="H59" s="286" t="s">
        <v>1341</v>
      </c>
      <c r="I59" s="375" t="str">
        <f>VLOOKUP(D59,'3-Plano de Ações'!$D$3:$Q$170,14,0)</f>
        <v>Não Iniciado</v>
      </c>
      <c r="J59" s="294"/>
      <c r="K59" s="296">
        <v>78</v>
      </c>
      <c r="L59" s="357"/>
      <c r="M59" s="373"/>
      <c r="N59" s="376">
        <v>43313</v>
      </c>
      <c r="O59" s="376">
        <v>43435</v>
      </c>
      <c r="P59" s="357"/>
      <c r="Q59" s="357"/>
      <c r="R59" s="368"/>
      <c r="S59" s="370" t="str">
        <f t="shared" si="3"/>
        <v>A35.01 - Elaborar o PDTI 2018-2019</v>
      </c>
      <c r="T59" s="371">
        <f t="shared" ca="1" si="4"/>
        <v>237</v>
      </c>
      <c r="U59" s="371">
        <f t="shared" ca="1" si="5"/>
        <v>359</v>
      </c>
    </row>
    <row r="60" spans="1:21" ht="50.1" customHeight="1" x14ac:dyDescent="0.25">
      <c r="A60" s="283" t="s">
        <v>127</v>
      </c>
      <c r="B60" s="284" t="s">
        <v>852</v>
      </c>
      <c r="C60" s="213" t="s">
        <v>128</v>
      </c>
      <c r="D60" s="285" t="s">
        <v>985</v>
      </c>
      <c r="E60" s="246" t="s">
        <v>826</v>
      </c>
      <c r="F60" s="286" t="s">
        <v>376</v>
      </c>
      <c r="G60" s="286">
        <f>VLOOKUP(D60,'3-Plano de Ações'!$D$2:$S$177,16,0)</f>
        <v>0</v>
      </c>
      <c r="H60" s="286" t="s">
        <v>1341</v>
      </c>
      <c r="I60" s="375" t="str">
        <f>VLOOKUP(D60,'3-Plano de Ações'!$D$3:$Q$170,14,0)</f>
        <v>Não Iniciado</v>
      </c>
      <c r="J60" s="294"/>
      <c r="K60" s="296">
        <v>79</v>
      </c>
      <c r="L60" s="357"/>
      <c r="M60" s="373"/>
      <c r="N60" s="376">
        <v>43435</v>
      </c>
      <c r="O60" s="376">
        <v>43435</v>
      </c>
      <c r="P60" s="357"/>
      <c r="Q60" s="357"/>
      <c r="R60" s="368"/>
      <c r="S60" s="370" t="str">
        <f t="shared" si="3"/>
        <v>A35.02 - Aprovar o PDTI 2018-2019</v>
      </c>
      <c r="T60" s="371">
        <f t="shared" ca="1" si="4"/>
        <v>359</v>
      </c>
      <c r="U60" s="371">
        <f t="shared" ca="1" si="5"/>
        <v>359</v>
      </c>
    </row>
    <row r="61" spans="1:21" ht="50.1" customHeight="1" x14ac:dyDescent="0.25">
      <c r="A61" s="283" t="s">
        <v>130</v>
      </c>
      <c r="B61" s="284" t="s">
        <v>849</v>
      </c>
      <c r="C61" s="213" t="s">
        <v>131</v>
      </c>
      <c r="D61" s="285" t="s">
        <v>1006</v>
      </c>
      <c r="E61" s="246" t="s">
        <v>1158</v>
      </c>
      <c r="F61" s="286" t="s">
        <v>380</v>
      </c>
      <c r="G61" s="286" t="str">
        <f>VLOOKUP(D61,'3-Plano de Ações'!$D$2:$S$177,16,0)</f>
        <v>2017-3</v>
      </c>
      <c r="H61" s="286" t="s">
        <v>1364</v>
      </c>
      <c r="I61" s="375" t="str">
        <f>VLOOKUP(D61,'3-Plano de Ações'!$D$3:$Q$170,14,0)</f>
        <v>Concluído</v>
      </c>
      <c r="J61" s="294"/>
      <c r="K61" s="296">
        <v>80</v>
      </c>
      <c r="L61" s="357"/>
      <c r="M61" s="373">
        <v>300000</v>
      </c>
      <c r="N61" s="376">
        <v>42736</v>
      </c>
      <c r="O61" s="376">
        <v>43070</v>
      </c>
      <c r="P61" s="357"/>
      <c r="Q61" s="356" t="s">
        <v>1287</v>
      </c>
      <c r="R61" s="368"/>
      <c r="S61" s="370" t="str">
        <f t="shared" si="3"/>
        <v>A36.01 - Auxiliar na gestão novo portal</v>
      </c>
      <c r="T61" s="371">
        <f t="shared" ca="1" si="4"/>
        <v>-340</v>
      </c>
      <c r="U61" s="371">
        <f t="shared" ca="1" si="5"/>
        <v>-6</v>
      </c>
    </row>
    <row r="62" spans="1:21" ht="50.1" customHeight="1" x14ac:dyDescent="0.25">
      <c r="A62" s="283" t="s">
        <v>142</v>
      </c>
      <c r="B62" s="284" t="s">
        <v>849</v>
      </c>
      <c r="C62" s="213" t="s">
        <v>143</v>
      </c>
      <c r="D62" s="285" t="s">
        <v>1009</v>
      </c>
      <c r="E62" s="246" t="s">
        <v>144</v>
      </c>
      <c r="F62" s="286" t="s">
        <v>380</v>
      </c>
      <c r="G62" s="286" t="str">
        <f>VLOOKUP(D62,'3-Plano de Ações'!$D$2:$S$177,16,0)</f>
        <v>Em dia</v>
      </c>
      <c r="H62" s="286" t="s">
        <v>1352</v>
      </c>
      <c r="I62" s="375" t="str">
        <f>VLOOKUP(D62,'3-Plano de Ações'!$D$3:$Q$170,14,0)</f>
        <v>Em andamento</v>
      </c>
      <c r="J62" s="294"/>
      <c r="K62" s="296">
        <v>81</v>
      </c>
      <c r="L62" s="357"/>
      <c r="M62" s="373"/>
      <c r="N62" s="376">
        <v>43101</v>
      </c>
      <c r="O62" s="376">
        <v>43435</v>
      </c>
      <c r="P62" s="366"/>
      <c r="Q62" s="357"/>
      <c r="R62" s="368" t="s">
        <v>1288</v>
      </c>
      <c r="S62" s="370" t="str">
        <f t="shared" si="3"/>
        <v>A41.01 - Desenvolver portal de divulgaç</v>
      </c>
      <c r="T62" s="371">
        <f t="shared" ca="1" si="4"/>
        <v>25</v>
      </c>
      <c r="U62" s="371">
        <f t="shared" ca="1" si="5"/>
        <v>359</v>
      </c>
    </row>
    <row r="63" spans="1:21" ht="50.1" customHeight="1" x14ac:dyDescent="0.25">
      <c r="A63" s="283" t="s">
        <v>145</v>
      </c>
      <c r="B63" s="284" t="s">
        <v>849</v>
      </c>
      <c r="C63" s="213" t="s">
        <v>146</v>
      </c>
      <c r="D63" s="285" t="s">
        <v>147</v>
      </c>
      <c r="E63" s="246" t="s">
        <v>148</v>
      </c>
      <c r="F63" s="286" t="s">
        <v>220</v>
      </c>
      <c r="G63" s="286" t="str">
        <f>VLOOKUP(D63,'3-Plano de Ações'!$D$2:$S$177,16,0)</f>
        <v>2017-3</v>
      </c>
      <c r="H63" s="286" t="s">
        <v>1348</v>
      </c>
      <c r="I63" s="375" t="str">
        <f>VLOOKUP(D63,'3-Plano de Ações'!$D$3:$Q$170,14,0)</f>
        <v>Concluído</v>
      </c>
      <c r="J63" s="294"/>
      <c r="K63" s="296">
        <v>20</v>
      </c>
      <c r="L63" s="357"/>
      <c r="M63" s="373">
        <v>0</v>
      </c>
      <c r="N63" s="376">
        <v>42856</v>
      </c>
      <c r="O63" s="376">
        <v>42948</v>
      </c>
      <c r="P63" s="357"/>
      <c r="Q63" s="357"/>
      <c r="R63" s="368"/>
      <c r="S63" s="370" t="str">
        <f t="shared" si="3"/>
        <v>A42.01 - Realizar aquisição de Corel Dr</v>
      </c>
      <c r="T63" s="371">
        <f t="shared" ca="1" si="4"/>
        <v>-220</v>
      </c>
      <c r="U63" s="371">
        <f t="shared" ca="1" si="5"/>
        <v>-128</v>
      </c>
    </row>
    <row r="64" spans="1:21" ht="50.1" customHeight="1" x14ac:dyDescent="0.25">
      <c r="A64" s="283" t="s">
        <v>145</v>
      </c>
      <c r="B64" s="284" t="s">
        <v>849</v>
      </c>
      <c r="C64" s="213" t="s">
        <v>146</v>
      </c>
      <c r="D64" s="285" t="s">
        <v>149</v>
      </c>
      <c r="E64" s="246" t="s">
        <v>150</v>
      </c>
      <c r="F64" s="286" t="s">
        <v>220</v>
      </c>
      <c r="G64" s="286" t="str">
        <f>VLOOKUP(D64,'3-Plano de Ações'!$D$2:$S$177,16,0)</f>
        <v>2017-3</v>
      </c>
      <c r="H64" s="286" t="s">
        <v>1348</v>
      </c>
      <c r="I64" s="375" t="str">
        <f>VLOOKUP(D64,'3-Plano de Ações'!$D$3:$Q$170,14,0)</f>
        <v>Concluído</v>
      </c>
      <c r="J64" s="294"/>
      <c r="K64" s="296">
        <v>21</v>
      </c>
      <c r="L64" s="357"/>
      <c r="M64" s="373">
        <v>100000</v>
      </c>
      <c r="N64" s="376">
        <v>42856</v>
      </c>
      <c r="O64" s="376">
        <v>42948</v>
      </c>
      <c r="P64" s="357"/>
      <c r="Q64" s="357"/>
      <c r="R64" s="368"/>
      <c r="S64" s="370" t="str">
        <f t="shared" si="3"/>
        <v>A42.02 - Realizar aquisição de Autodesk</v>
      </c>
      <c r="T64" s="371">
        <f t="shared" ca="1" si="4"/>
        <v>-220</v>
      </c>
      <c r="U64" s="371">
        <f t="shared" ca="1" si="5"/>
        <v>-128</v>
      </c>
    </row>
    <row r="65" spans="1:21" ht="50.1" customHeight="1" x14ac:dyDescent="0.25">
      <c r="A65" s="283" t="s">
        <v>145</v>
      </c>
      <c r="B65" s="284" t="s">
        <v>849</v>
      </c>
      <c r="C65" s="213" t="s">
        <v>146</v>
      </c>
      <c r="D65" s="285" t="s">
        <v>151</v>
      </c>
      <c r="E65" s="246" t="s">
        <v>152</v>
      </c>
      <c r="F65" s="286" t="s">
        <v>220</v>
      </c>
      <c r="G65" s="286" t="str">
        <f>VLOOKUP(D65,'3-Plano de Ações'!$D$2:$S$177,16,0)</f>
        <v>2017-3</v>
      </c>
      <c r="H65" s="286" t="s">
        <v>1348</v>
      </c>
      <c r="I65" s="375" t="str">
        <f>VLOOKUP(D65,'3-Plano de Ações'!$D$3:$Q$170,14,0)</f>
        <v>Concluído</v>
      </c>
      <c r="J65" s="294"/>
      <c r="K65" s="296">
        <v>22</v>
      </c>
      <c r="L65" s="357"/>
      <c r="M65" s="373">
        <v>0</v>
      </c>
      <c r="N65" s="376">
        <v>42856</v>
      </c>
      <c r="O65" s="376">
        <v>42948</v>
      </c>
      <c r="P65" s="357"/>
      <c r="Q65" s="357"/>
      <c r="R65" s="368"/>
      <c r="S65" s="370" t="str">
        <f t="shared" si="3"/>
        <v>A42.03 - Realizar aquisição de Adobe Ph</v>
      </c>
      <c r="T65" s="371">
        <f t="shared" ca="1" si="4"/>
        <v>-220</v>
      </c>
      <c r="U65" s="371">
        <f t="shared" ca="1" si="5"/>
        <v>-128</v>
      </c>
    </row>
    <row r="66" spans="1:21" ht="50.1" customHeight="1" x14ac:dyDescent="0.25">
      <c r="A66" s="283" t="s">
        <v>145</v>
      </c>
      <c r="B66" s="284" t="s">
        <v>849</v>
      </c>
      <c r="C66" s="213" t="s">
        <v>146</v>
      </c>
      <c r="D66" s="285" t="s">
        <v>153</v>
      </c>
      <c r="E66" s="246" t="s">
        <v>154</v>
      </c>
      <c r="F66" s="286" t="s">
        <v>220</v>
      </c>
      <c r="G66" s="286" t="str">
        <f>VLOOKUP(D66,'3-Plano de Ações'!$D$2:$S$177,16,0)</f>
        <v>2017-3</v>
      </c>
      <c r="H66" s="286" t="s">
        <v>1348</v>
      </c>
      <c r="I66" s="375" t="str">
        <f>VLOOKUP(D66,'3-Plano de Ações'!$D$3:$Q$170,14,0)</f>
        <v>Concluído</v>
      </c>
      <c r="J66" s="294"/>
      <c r="K66" s="296">
        <v>23</v>
      </c>
      <c r="L66" s="357"/>
      <c r="M66" s="373">
        <v>0</v>
      </c>
      <c r="N66" s="376">
        <v>42856</v>
      </c>
      <c r="O66" s="376">
        <v>42948</v>
      </c>
      <c r="P66" s="357"/>
      <c r="Q66" s="357"/>
      <c r="R66" s="368"/>
      <c r="S66" s="370" t="str">
        <f t="shared" si="3"/>
        <v>A42.04 - Realizar aquisição de Adobe Ac</v>
      </c>
      <c r="T66" s="371">
        <f t="shared" ca="1" si="4"/>
        <v>-220</v>
      </c>
      <c r="U66" s="371">
        <f t="shared" ca="1" si="5"/>
        <v>-128</v>
      </c>
    </row>
    <row r="67" spans="1:21" ht="50.1" customHeight="1" x14ac:dyDescent="0.25">
      <c r="A67" s="283" t="s">
        <v>145</v>
      </c>
      <c r="B67" s="284" t="s">
        <v>849</v>
      </c>
      <c r="C67" s="213" t="s">
        <v>146</v>
      </c>
      <c r="D67" s="285" t="s">
        <v>155</v>
      </c>
      <c r="E67" s="246" t="s">
        <v>156</v>
      </c>
      <c r="F67" s="286" t="s">
        <v>220</v>
      </c>
      <c r="G67" s="286" t="str">
        <f>VLOOKUP(D67,'3-Plano de Ações'!$D$2:$S$177,16,0)</f>
        <v>2017-3</v>
      </c>
      <c r="H67" s="286" t="s">
        <v>1348</v>
      </c>
      <c r="I67" s="375" t="str">
        <f>VLOOKUP(D67,'3-Plano de Ações'!$D$3:$Q$170,14,0)</f>
        <v>Concluído</v>
      </c>
      <c r="J67" s="294"/>
      <c r="K67" s="296">
        <v>24</v>
      </c>
      <c r="L67" s="357"/>
      <c r="M67" s="373">
        <v>0</v>
      </c>
      <c r="N67" s="376">
        <v>42856</v>
      </c>
      <c r="O67" s="376">
        <v>42948</v>
      </c>
      <c r="P67" s="357"/>
      <c r="Q67" s="357"/>
      <c r="R67" s="368"/>
      <c r="S67" s="370" t="str">
        <f t="shared" ref="S67:S95" si="6">CONCATENATE(D67, " - ", LEFT(E67,30))</f>
        <v>A42.05 - Realizar aquisição de Adobe In</v>
      </c>
      <c r="T67" s="371">
        <f t="shared" ref="T67:T95" ca="1" si="7">N67-TODAY()</f>
        <v>-220</v>
      </c>
      <c r="U67" s="371">
        <f t="shared" ref="U67:U95" ca="1" si="8">O67-TODAY()</f>
        <v>-128</v>
      </c>
    </row>
    <row r="68" spans="1:21" ht="50.1" customHeight="1" x14ac:dyDescent="0.25">
      <c r="A68" s="283" t="s">
        <v>145</v>
      </c>
      <c r="B68" s="284" t="s">
        <v>849</v>
      </c>
      <c r="C68" s="213" t="s">
        <v>146</v>
      </c>
      <c r="D68" s="285" t="s">
        <v>157</v>
      </c>
      <c r="E68" s="246" t="s">
        <v>845</v>
      </c>
      <c r="F68" s="286" t="s">
        <v>220</v>
      </c>
      <c r="G68" s="286" t="str">
        <f>VLOOKUP(D68,'3-Plano de Ações'!$D$2:$S$177,16,0)</f>
        <v>Em dia</v>
      </c>
      <c r="H68" s="286" t="s">
        <v>1338</v>
      </c>
      <c r="I68" s="375" t="str">
        <f>VLOOKUP(D68,'3-Plano de Ações'!$D$3:$Q$170,14,0)</f>
        <v>Em andamento</v>
      </c>
      <c r="J68" s="294"/>
      <c r="K68" s="296">
        <v>25</v>
      </c>
      <c r="L68" s="357"/>
      <c r="M68" s="373">
        <v>500000</v>
      </c>
      <c r="N68" s="376">
        <v>42948</v>
      </c>
      <c r="O68" s="376">
        <v>43435</v>
      </c>
      <c r="P68" s="357"/>
      <c r="Q68" s="357"/>
      <c r="R68" s="368"/>
      <c r="S68" s="370" t="str">
        <f t="shared" si="6"/>
        <v>A42.06 - Realizar atualização do Pacote</v>
      </c>
      <c r="T68" s="371">
        <f t="shared" ca="1" si="7"/>
        <v>-128</v>
      </c>
      <c r="U68" s="371">
        <f t="shared" ca="1" si="8"/>
        <v>359</v>
      </c>
    </row>
    <row r="69" spans="1:21" ht="50.1" customHeight="1" x14ac:dyDescent="0.25">
      <c r="A69" s="283" t="s">
        <v>145</v>
      </c>
      <c r="B69" s="284" t="s">
        <v>849</v>
      </c>
      <c r="C69" s="213" t="s">
        <v>146</v>
      </c>
      <c r="D69" s="91" t="s">
        <v>158</v>
      </c>
      <c r="E69" s="246" t="s">
        <v>159</v>
      </c>
      <c r="F69" s="286" t="s">
        <v>220</v>
      </c>
      <c r="G69" s="286">
        <f>VLOOKUP(D69,'3-Plano de Ações'!$D$2:$S$177,16,0)</f>
        <v>0</v>
      </c>
      <c r="H69" s="286" t="s">
        <v>1338</v>
      </c>
      <c r="I69" s="375" t="str">
        <f>VLOOKUP(D69,'3-Plano de Ações'!$D$3:$Q$170,14,0)</f>
        <v>Não Iniciado</v>
      </c>
      <c r="J69" s="294"/>
      <c r="K69" s="296">
        <v>82</v>
      </c>
      <c r="L69" s="357"/>
      <c r="M69" s="373">
        <v>1000000</v>
      </c>
      <c r="N69" s="376">
        <v>43101</v>
      </c>
      <c r="O69" s="376">
        <v>43435</v>
      </c>
      <c r="P69" s="357"/>
      <c r="Q69" s="357"/>
      <c r="R69" s="368" t="s">
        <v>1289</v>
      </c>
      <c r="S69" s="370" t="str">
        <f t="shared" si="6"/>
        <v xml:space="preserve">A42.07 - Realizar aquisição de Sistema </v>
      </c>
      <c r="T69" s="371">
        <f t="shared" ca="1" si="7"/>
        <v>25</v>
      </c>
      <c r="U69" s="371">
        <f t="shared" ca="1" si="8"/>
        <v>359</v>
      </c>
    </row>
    <row r="70" spans="1:21" ht="50.1" customHeight="1" x14ac:dyDescent="0.25">
      <c r="A70" s="283" t="s">
        <v>145</v>
      </c>
      <c r="B70" s="284" t="s">
        <v>849</v>
      </c>
      <c r="C70" s="213" t="s">
        <v>146</v>
      </c>
      <c r="D70" s="91" t="s">
        <v>160</v>
      </c>
      <c r="E70" s="246" t="s">
        <v>161</v>
      </c>
      <c r="F70" s="286" t="s">
        <v>220</v>
      </c>
      <c r="G70" s="286">
        <f>VLOOKUP(D70,'3-Plano de Ações'!$D$2:$S$177,16,0)</f>
        <v>0</v>
      </c>
      <c r="H70" s="286" t="s">
        <v>1338</v>
      </c>
      <c r="I70" s="375" t="str">
        <f>VLOOKUP(D70,'3-Plano de Ações'!$D$3:$Q$170,14,0)</f>
        <v>Não Iniciado</v>
      </c>
      <c r="J70" s="294"/>
      <c r="K70" s="296">
        <v>83</v>
      </c>
      <c r="L70" s="357"/>
      <c r="M70" s="373">
        <v>0</v>
      </c>
      <c r="N70" s="376">
        <v>43101</v>
      </c>
      <c r="O70" s="376">
        <v>43435</v>
      </c>
      <c r="P70" s="357"/>
      <c r="Q70" s="357"/>
      <c r="R70" s="368"/>
      <c r="S70" s="370" t="str">
        <f t="shared" si="6"/>
        <v xml:space="preserve">A42.08 - Realizar aquisição de Sistema </v>
      </c>
      <c r="T70" s="371">
        <f t="shared" ca="1" si="7"/>
        <v>25</v>
      </c>
      <c r="U70" s="371">
        <f t="shared" ca="1" si="8"/>
        <v>359</v>
      </c>
    </row>
    <row r="71" spans="1:21" ht="50.1" customHeight="1" x14ac:dyDescent="0.25">
      <c r="A71" s="283" t="s">
        <v>145</v>
      </c>
      <c r="B71" s="284" t="s">
        <v>849</v>
      </c>
      <c r="C71" s="213" t="s">
        <v>146</v>
      </c>
      <c r="D71" s="285" t="s">
        <v>162</v>
      </c>
      <c r="E71" s="246" t="s">
        <v>846</v>
      </c>
      <c r="F71" s="286" t="s">
        <v>220</v>
      </c>
      <c r="G71" s="286" t="str">
        <f>VLOOKUP(D71,'3-Plano de Ações'!$D$2:$S$177,16,0)</f>
        <v>2017-3</v>
      </c>
      <c r="H71" s="286" t="s">
        <v>1363</v>
      </c>
      <c r="I71" s="375" t="str">
        <f>VLOOKUP(D71,'3-Plano de Ações'!$D$3:$Q$170,14,0)</f>
        <v>Concluído</v>
      </c>
      <c r="J71" s="294"/>
      <c r="K71" s="296">
        <v>26</v>
      </c>
      <c r="L71" s="357"/>
      <c r="M71" s="373"/>
      <c r="N71" s="376">
        <v>42856</v>
      </c>
      <c r="O71" s="376">
        <v>42979</v>
      </c>
      <c r="P71" s="366"/>
      <c r="Q71" s="366"/>
      <c r="R71" s="368" t="s">
        <v>1274</v>
      </c>
      <c r="S71" s="370" t="str">
        <f t="shared" si="6"/>
        <v>A42.09 - Realizar investimento em soluç</v>
      </c>
      <c r="T71" s="371">
        <f t="shared" ca="1" si="7"/>
        <v>-220</v>
      </c>
      <c r="U71" s="371">
        <f t="shared" ca="1" si="8"/>
        <v>-97</v>
      </c>
    </row>
    <row r="72" spans="1:21" ht="50.1" customHeight="1" x14ac:dyDescent="0.25">
      <c r="A72" s="283" t="s">
        <v>145</v>
      </c>
      <c r="B72" s="284" t="s">
        <v>849</v>
      </c>
      <c r="C72" s="213" t="s">
        <v>146</v>
      </c>
      <c r="D72" s="285" t="s">
        <v>165</v>
      </c>
      <c r="E72" s="246" t="s">
        <v>166</v>
      </c>
      <c r="F72" s="286" t="s">
        <v>220</v>
      </c>
      <c r="G72" s="286" t="str">
        <f>VLOOKUP(D72,'3-Plano de Ações'!$D$2:$S$177,16,0)</f>
        <v>2017-3</v>
      </c>
      <c r="H72" s="286" t="s">
        <v>1355</v>
      </c>
      <c r="I72" s="375" t="str">
        <f>VLOOKUP(D72,'3-Plano de Ações'!$D$3:$Q$170,14,0)</f>
        <v>Concluído</v>
      </c>
      <c r="J72" s="294"/>
      <c r="K72" s="296">
        <v>27</v>
      </c>
      <c r="L72" s="357"/>
      <c r="M72" s="373">
        <v>0</v>
      </c>
      <c r="N72" s="376">
        <v>42856</v>
      </c>
      <c r="O72" s="376">
        <v>42948</v>
      </c>
      <c r="P72" s="357"/>
      <c r="Q72" s="357"/>
      <c r="R72" s="368"/>
      <c r="S72" s="370" t="str">
        <f t="shared" si="6"/>
        <v>A42.12 - Realizar aquisição de Software</v>
      </c>
      <c r="T72" s="371">
        <f t="shared" ca="1" si="7"/>
        <v>-220</v>
      </c>
      <c r="U72" s="371">
        <f t="shared" ca="1" si="8"/>
        <v>-128</v>
      </c>
    </row>
    <row r="73" spans="1:21" ht="50.1" customHeight="1" x14ac:dyDescent="0.25">
      <c r="A73" s="283" t="s">
        <v>145</v>
      </c>
      <c r="B73" s="284" t="s">
        <v>849</v>
      </c>
      <c r="C73" s="213" t="s">
        <v>146</v>
      </c>
      <c r="D73" s="285" t="s">
        <v>840</v>
      </c>
      <c r="E73" s="246" t="s">
        <v>848</v>
      </c>
      <c r="F73" s="286" t="s">
        <v>220</v>
      </c>
      <c r="G73" s="286">
        <f>VLOOKUP(D73,'3-Plano de Ações'!$D$2:$S$177,16,0)</f>
        <v>0</v>
      </c>
      <c r="H73" s="286" t="s">
        <v>1338</v>
      </c>
      <c r="I73" s="375" t="str">
        <f>VLOOKUP(D73,'3-Plano de Ações'!$D$3:$Q$170,14,0)</f>
        <v>Não Iniciado</v>
      </c>
      <c r="J73" s="294"/>
      <c r="K73" s="296">
        <v>84</v>
      </c>
      <c r="L73" s="357"/>
      <c r="M73" s="373">
        <v>100000</v>
      </c>
      <c r="N73" s="376">
        <v>43313</v>
      </c>
      <c r="O73" s="376">
        <v>43435</v>
      </c>
      <c r="P73" s="357"/>
      <c r="Q73" s="357"/>
      <c r="R73" s="368"/>
      <c r="S73" s="370" t="str">
        <f t="shared" si="6"/>
        <v>A42.13 - Realizar aquisição de Software</v>
      </c>
      <c r="T73" s="371">
        <f t="shared" ca="1" si="7"/>
        <v>237</v>
      </c>
      <c r="U73" s="371">
        <f t="shared" ca="1" si="8"/>
        <v>359</v>
      </c>
    </row>
    <row r="74" spans="1:21" ht="50.1" customHeight="1" x14ac:dyDescent="0.25">
      <c r="A74" s="283" t="s">
        <v>167</v>
      </c>
      <c r="B74" s="284" t="s">
        <v>850</v>
      </c>
      <c r="C74" s="213" t="s">
        <v>168</v>
      </c>
      <c r="D74" s="285" t="s">
        <v>979</v>
      </c>
      <c r="E74" s="246" t="s">
        <v>169</v>
      </c>
      <c r="F74" s="286" t="s">
        <v>220</v>
      </c>
      <c r="G74" s="286" t="str">
        <f>VLOOKUP(D74,'3-Plano de Ações'!$D$2:$S$177,16,0)</f>
        <v>Em dia</v>
      </c>
      <c r="H74" s="286" t="s">
        <v>1338</v>
      </c>
      <c r="I74" s="375" t="str">
        <f>VLOOKUP(D74,'3-Plano de Ações'!$D$3:$Q$170,14,0)</f>
        <v>Em andamento</v>
      </c>
      <c r="J74" s="294"/>
      <c r="K74" s="296">
        <v>28</v>
      </c>
      <c r="L74" s="357"/>
      <c r="M74" s="373">
        <v>500000</v>
      </c>
      <c r="N74" s="376">
        <v>42856</v>
      </c>
      <c r="O74" s="376">
        <v>43070</v>
      </c>
      <c r="P74" s="357"/>
      <c r="Q74" s="357"/>
      <c r="R74" s="368"/>
      <c r="S74" s="370" t="str">
        <f t="shared" si="6"/>
        <v xml:space="preserve">A43.01 - Analisar viabilidade Soluções </v>
      </c>
      <c r="T74" s="371">
        <f t="shared" ca="1" si="7"/>
        <v>-220</v>
      </c>
      <c r="U74" s="371">
        <f t="shared" ca="1" si="8"/>
        <v>-6</v>
      </c>
    </row>
    <row r="75" spans="1:21" ht="50.1" customHeight="1" x14ac:dyDescent="0.25">
      <c r="A75" s="283" t="s">
        <v>167</v>
      </c>
      <c r="B75" s="284" t="s">
        <v>850</v>
      </c>
      <c r="C75" s="213" t="s">
        <v>168</v>
      </c>
      <c r="D75" s="285" t="s">
        <v>170</v>
      </c>
      <c r="E75" s="246" t="s">
        <v>171</v>
      </c>
      <c r="F75" s="286" t="s">
        <v>220</v>
      </c>
      <c r="G75" s="286">
        <f>VLOOKUP(D75,'3-Plano de Ações'!$D$2:$S$177,16,0)</f>
        <v>0</v>
      </c>
      <c r="H75" s="286" t="s">
        <v>1338</v>
      </c>
      <c r="I75" s="375" t="str">
        <f>VLOOKUP(D75,'3-Plano de Ações'!$D$3:$Q$170,14,0)</f>
        <v>Não Iniciado</v>
      </c>
      <c r="J75" s="294"/>
      <c r="K75" s="296">
        <v>85</v>
      </c>
      <c r="L75" s="357"/>
      <c r="M75" s="373">
        <v>0</v>
      </c>
      <c r="N75" s="376">
        <v>42736</v>
      </c>
      <c r="O75" s="376">
        <v>43070</v>
      </c>
      <c r="P75" s="357"/>
      <c r="Q75" s="357"/>
      <c r="R75" s="368"/>
      <c r="S75" s="370" t="str">
        <f t="shared" si="6"/>
        <v xml:space="preserve">A43.02 - Realizar aquisição de solução </v>
      </c>
      <c r="T75" s="371">
        <f t="shared" ca="1" si="7"/>
        <v>-340</v>
      </c>
      <c r="U75" s="371">
        <f t="shared" ca="1" si="8"/>
        <v>-6</v>
      </c>
    </row>
    <row r="76" spans="1:21" ht="50.1" customHeight="1" x14ac:dyDescent="0.25">
      <c r="A76" s="283" t="s">
        <v>172</v>
      </c>
      <c r="B76" s="284" t="s">
        <v>849</v>
      </c>
      <c r="C76" s="213" t="s">
        <v>173</v>
      </c>
      <c r="D76" s="285" t="s">
        <v>1028</v>
      </c>
      <c r="E76" s="246" t="s">
        <v>174</v>
      </c>
      <c r="F76" s="286" t="s">
        <v>220</v>
      </c>
      <c r="G76" s="286" t="str">
        <f>VLOOKUP(D76,'3-Plano de Ações'!$D$2:$S$177,16,0)</f>
        <v>Revisão 2017-1 - Ação reiterada</v>
      </c>
      <c r="H76" s="286" t="s">
        <v>1359</v>
      </c>
      <c r="I76" s="375" t="str">
        <f>VLOOKUP(D76,'3-Plano de Ações'!$D$3:$Q$170,14,0)</f>
        <v>Não Iniciado</v>
      </c>
      <c r="J76" s="294"/>
      <c r="K76" s="296">
        <v>86</v>
      </c>
      <c r="L76" s="357"/>
      <c r="M76" s="373"/>
      <c r="N76" s="376">
        <v>42887</v>
      </c>
      <c r="O76" s="376">
        <v>43101</v>
      </c>
      <c r="P76" s="366"/>
      <c r="Q76" s="357"/>
      <c r="R76" s="368" t="s">
        <v>1290</v>
      </c>
      <c r="S76" s="370" t="str">
        <f t="shared" si="6"/>
        <v>A44.01 - Desenvolver sistema para gestã</v>
      </c>
      <c r="T76" s="371">
        <f t="shared" ca="1" si="7"/>
        <v>-189</v>
      </c>
      <c r="U76" s="371">
        <f t="shared" ca="1" si="8"/>
        <v>25</v>
      </c>
    </row>
    <row r="77" spans="1:21" ht="50.1" customHeight="1" x14ac:dyDescent="0.25">
      <c r="A77" s="283" t="s">
        <v>175</v>
      </c>
      <c r="B77" s="284" t="s">
        <v>850</v>
      </c>
      <c r="C77" s="213" t="s">
        <v>176</v>
      </c>
      <c r="D77" s="285" t="s">
        <v>1072</v>
      </c>
      <c r="E77" s="246" t="s">
        <v>809</v>
      </c>
      <c r="F77" s="286" t="s">
        <v>825</v>
      </c>
      <c r="G77" s="286" t="str">
        <f>VLOOKUP(D77,'3-Plano de Ações'!$D$2:$S$177,16,0)</f>
        <v>Em dia</v>
      </c>
      <c r="H77" s="286" t="s">
        <v>1341</v>
      </c>
      <c r="I77" s="375" t="str">
        <f>VLOOKUP(D77,'3-Plano de Ações'!$D$3:$Q$170,14,0)</f>
        <v>Em andamento</v>
      </c>
      <c r="J77" s="294"/>
      <c r="K77" s="296">
        <v>87</v>
      </c>
      <c r="L77" s="357"/>
      <c r="M77" s="373"/>
      <c r="N77" s="376">
        <v>42736</v>
      </c>
      <c r="O77" s="376">
        <v>43435</v>
      </c>
      <c r="P77" s="357"/>
      <c r="Q77" s="357"/>
      <c r="R77" s="368"/>
      <c r="S77" s="370" t="str">
        <f t="shared" si="6"/>
        <v xml:space="preserve">A45.03 - Priorizar e revisar/atualizar </v>
      </c>
      <c r="T77" s="371">
        <f t="shared" ca="1" si="7"/>
        <v>-340</v>
      </c>
      <c r="U77" s="371">
        <f t="shared" ca="1" si="8"/>
        <v>359</v>
      </c>
    </row>
    <row r="78" spans="1:21" ht="50.1" customHeight="1" x14ac:dyDescent="0.25">
      <c r="A78" s="283" t="s">
        <v>178</v>
      </c>
      <c r="B78" s="284" t="s">
        <v>849</v>
      </c>
      <c r="C78" s="213" t="s">
        <v>179</v>
      </c>
      <c r="D78" s="285" t="s">
        <v>1037</v>
      </c>
      <c r="E78" s="246" t="s">
        <v>1157</v>
      </c>
      <c r="F78" s="286" t="s">
        <v>380</v>
      </c>
      <c r="G78" s="286" t="str">
        <f>VLOOKUP(D78,'3-Plano de Ações'!$D$2:$S$177,16,0)</f>
        <v>2017-3</v>
      </c>
      <c r="H78" s="286" t="s">
        <v>1364</v>
      </c>
      <c r="I78" s="375" t="str">
        <f>VLOOKUP(D78,'3-Plano de Ações'!$D$3:$Q$170,14,0)</f>
        <v>Concluído</v>
      </c>
      <c r="J78" s="294"/>
      <c r="K78" s="296">
        <v>88</v>
      </c>
      <c r="L78" s="357"/>
      <c r="M78" s="373">
        <v>300000</v>
      </c>
      <c r="N78" s="376">
        <v>42736</v>
      </c>
      <c r="O78" s="376">
        <v>43070</v>
      </c>
      <c r="P78" s="357"/>
      <c r="Q78" s="357" t="s">
        <v>1291</v>
      </c>
      <c r="R78" s="368"/>
      <c r="S78" s="370" t="str">
        <f t="shared" si="6"/>
        <v>A46.01 - Auxiliar na gestão da manutenç</v>
      </c>
      <c r="T78" s="371">
        <f t="shared" ca="1" si="7"/>
        <v>-340</v>
      </c>
      <c r="U78" s="371">
        <f t="shared" ca="1" si="8"/>
        <v>-6</v>
      </c>
    </row>
    <row r="79" spans="1:21" ht="50.1" customHeight="1" x14ac:dyDescent="0.25">
      <c r="A79" s="283" t="s">
        <v>180</v>
      </c>
      <c r="B79" s="284" t="s">
        <v>849</v>
      </c>
      <c r="C79" s="213" t="s">
        <v>181</v>
      </c>
      <c r="D79" s="285" t="s">
        <v>1030</v>
      </c>
      <c r="E79" s="246" t="s">
        <v>182</v>
      </c>
      <c r="F79" s="286" t="s">
        <v>380</v>
      </c>
      <c r="G79" s="286" t="str">
        <f>VLOOKUP(D79,'3-Plano de Ações'!$D$2:$S$177,16,0)</f>
        <v>Atraso (Área de Negócio)</v>
      </c>
      <c r="H79" s="286" t="s">
        <v>1356</v>
      </c>
      <c r="I79" s="375" t="str">
        <f>VLOOKUP(D79,'3-Plano de Ações'!$D$3:$Q$170,14,0)</f>
        <v>Em andamento</v>
      </c>
      <c r="J79" s="294"/>
      <c r="K79" s="296">
        <v>29</v>
      </c>
      <c r="L79" s="357"/>
      <c r="M79" s="373"/>
      <c r="N79" s="376">
        <v>42856</v>
      </c>
      <c r="O79" s="376">
        <v>42948</v>
      </c>
      <c r="P79" s="366" t="s">
        <v>1316</v>
      </c>
      <c r="Q79" s="366"/>
      <c r="R79" s="368"/>
      <c r="S79" s="370" t="str">
        <f t="shared" si="6"/>
        <v>A47.02 - Desenvolver sistema para solic</v>
      </c>
      <c r="T79" s="371">
        <f t="shared" ca="1" si="7"/>
        <v>-220</v>
      </c>
      <c r="U79" s="371">
        <f t="shared" ca="1" si="8"/>
        <v>-128</v>
      </c>
    </row>
    <row r="80" spans="1:21" ht="50.1" customHeight="1" x14ac:dyDescent="0.25">
      <c r="A80" s="283" t="s">
        <v>183</v>
      </c>
      <c r="B80" s="286" t="s">
        <v>852</v>
      </c>
      <c r="C80" s="246" t="s">
        <v>184</v>
      </c>
      <c r="D80" s="285" t="s">
        <v>1084</v>
      </c>
      <c r="E80" s="246" t="s">
        <v>182</v>
      </c>
      <c r="F80" s="286" t="s">
        <v>220</v>
      </c>
      <c r="G80" s="286" t="str">
        <f>VLOOKUP(D80,'3-Plano de Ações'!$D$2:$S$177,16,0)</f>
        <v>Em dia</v>
      </c>
      <c r="H80" s="286" t="s">
        <v>1341</v>
      </c>
      <c r="I80" s="375" t="str">
        <f>VLOOKUP(D80,'3-Plano de Ações'!$D$3:$Q$170,14,0)</f>
        <v>Em andamento</v>
      </c>
      <c r="J80" s="294"/>
      <c r="K80" s="296">
        <v>30</v>
      </c>
      <c r="L80" s="357"/>
      <c r="M80" s="373"/>
      <c r="N80" s="376">
        <v>43101</v>
      </c>
      <c r="O80" s="376">
        <v>43282</v>
      </c>
      <c r="P80" s="357"/>
      <c r="Q80" s="357"/>
      <c r="R80" s="368"/>
      <c r="S80" s="370" t="str">
        <f t="shared" si="6"/>
        <v>A48.01 - Desenvolver sistema para solic</v>
      </c>
      <c r="T80" s="371">
        <f t="shared" ca="1" si="7"/>
        <v>25</v>
      </c>
      <c r="U80" s="371">
        <f t="shared" ca="1" si="8"/>
        <v>206</v>
      </c>
    </row>
    <row r="81" spans="1:21" ht="50.1" customHeight="1" x14ac:dyDescent="0.25">
      <c r="A81" s="283" t="s">
        <v>183</v>
      </c>
      <c r="B81" s="286" t="s">
        <v>852</v>
      </c>
      <c r="C81" s="246" t="s">
        <v>184</v>
      </c>
      <c r="D81" s="285" t="s">
        <v>1067</v>
      </c>
      <c r="E81" s="246" t="s">
        <v>186</v>
      </c>
      <c r="F81" s="286" t="s">
        <v>220</v>
      </c>
      <c r="G81" s="286" t="str">
        <f>VLOOKUP(D81,'3-Plano de Ações'!$D$2:$S$177,16,0)</f>
        <v>Em dia</v>
      </c>
      <c r="H81" s="286" t="s">
        <v>1341</v>
      </c>
      <c r="I81" s="375" t="str">
        <f>VLOOKUP(D81,'3-Plano de Ações'!$D$3:$Q$170,14,0)</f>
        <v>Em andamento</v>
      </c>
      <c r="J81" s="294"/>
      <c r="K81" s="296">
        <v>31</v>
      </c>
      <c r="L81" s="357"/>
      <c r="M81" s="373"/>
      <c r="N81" s="376">
        <v>43313</v>
      </c>
      <c r="O81" s="376">
        <v>43435</v>
      </c>
      <c r="P81" s="357"/>
      <c r="Q81" s="357"/>
      <c r="R81" s="368"/>
      <c r="S81" s="370" t="str">
        <f t="shared" si="6"/>
        <v>A48.02 - Mapear e implantar processos</v>
      </c>
      <c r="T81" s="371">
        <f t="shared" ca="1" si="7"/>
        <v>237</v>
      </c>
      <c r="U81" s="371">
        <f t="shared" ca="1" si="8"/>
        <v>359</v>
      </c>
    </row>
    <row r="82" spans="1:21" ht="50.1" customHeight="1" x14ac:dyDescent="0.25">
      <c r="A82" s="283" t="s">
        <v>183</v>
      </c>
      <c r="B82" s="284" t="s">
        <v>852</v>
      </c>
      <c r="C82" s="213" t="s">
        <v>184</v>
      </c>
      <c r="D82" s="285" t="s">
        <v>983</v>
      </c>
      <c r="E82" s="246" t="s">
        <v>187</v>
      </c>
      <c r="F82" s="286" t="s">
        <v>825</v>
      </c>
      <c r="G82" s="286">
        <f>VLOOKUP(D82,'3-Plano de Ações'!$D$2:$S$177,16,0)</f>
        <v>0</v>
      </c>
      <c r="H82" s="286" t="s">
        <v>1349</v>
      </c>
      <c r="I82" s="375" t="str">
        <f>VLOOKUP(D82,'3-Plano de Ações'!$D$3:$Q$170,14,0)</f>
        <v>Não Iniciado</v>
      </c>
      <c r="J82" s="294"/>
      <c r="K82" s="296">
        <v>89</v>
      </c>
      <c r="L82" s="357"/>
      <c r="M82" s="373"/>
      <c r="N82" s="376">
        <v>43313</v>
      </c>
      <c r="O82" s="376">
        <v>43435</v>
      </c>
      <c r="P82" s="357"/>
      <c r="Q82" s="357"/>
      <c r="R82" s="368"/>
      <c r="S82" s="370" t="str">
        <f t="shared" si="6"/>
        <v xml:space="preserve">A48.03 - Aprimorar o sistema help-desk </v>
      </c>
      <c r="T82" s="371">
        <f t="shared" ca="1" si="7"/>
        <v>237</v>
      </c>
      <c r="U82" s="371">
        <f t="shared" ca="1" si="8"/>
        <v>359</v>
      </c>
    </row>
    <row r="83" spans="1:21" ht="50.1" customHeight="1" x14ac:dyDescent="0.25">
      <c r="A83" s="283" t="s">
        <v>188</v>
      </c>
      <c r="B83" s="284" t="s">
        <v>849</v>
      </c>
      <c r="C83" s="213" t="s">
        <v>189</v>
      </c>
      <c r="D83" s="285" t="s">
        <v>1083</v>
      </c>
      <c r="E83" s="246" t="s">
        <v>827</v>
      </c>
      <c r="F83" s="286" t="s">
        <v>380</v>
      </c>
      <c r="G83" s="286">
        <f>VLOOKUP(D83,'3-Plano de Ações'!$D$2:$S$177,16,0)</f>
        <v>0</v>
      </c>
      <c r="H83" s="286" t="s">
        <v>1338</v>
      </c>
      <c r="I83" s="375" t="str">
        <f>VLOOKUP(D83,'3-Plano de Ações'!$D$3:$Q$170,14,0)</f>
        <v>Não Iniciado</v>
      </c>
      <c r="J83" s="294"/>
      <c r="K83" s="296">
        <v>90</v>
      </c>
      <c r="L83" s="357"/>
      <c r="M83" s="373">
        <v>0</v>
      </c>
      <c r="N83" s="376">
        <v>43101</v>
      </c>
      <c r="O83" s="376">
        <v>43435</v>
      </c>
      <c r="P83" s="365" t="s">
        <v>1320</v>
      </c>
      <c r="Q83" s="357"/>
      <c r="R83" s="368" t="s">
        <v>1330</v>
      </c>
      <c r="S83" s="370" t="str">
        <f t="shared" si="6"/>
        <v>A49.01 - Realizar detalhamento de neces</v>
      </c>
      <c r="T83" s="371">
        <f t="shared" ca="1" si="7"/>
        <v>25</v>
      </c>
      <c r="U83" s="371">
        <f t="shared" ca="1" si="8"/>
        <v>359</v>
      </c>
    </row>
    <row r="84" spans="1:21" ht="50.1" customHeight="1" x14ac:dyDescent="0.25">
      <c r="A84" s="283" t="s">
        <v>192</v>
      </c>
      <c r="B84" s="284" t="s">
        <v>849</v>
      </c>
      <c r="C84" s="213" t="s">
        <v>967</v>
      </c>
      <c r="D84" s="285" t="s">
        <v>193</v>
      </c>
      <c r="E84" s="246" t="s">
        <v>194</v>
      </c>
      <c r="F84" s="286" t="s">
        <v>380</v>
      </c>
      <c r="G84" s="286" t="str">
        <f>VLOOKUP(D84,'3-Plano de Ações'!$D$2:$S$177,16,0)</f>
        <v>Em dia</v>
      </c>
      <c r="H84" s="286" t="s">
        <v>1338</v>
      </c>
      <c r="I84" s="375" t="str">
        <f>VLOOKUP(D84,'3-Plano de Ações'!$D$3:$Q$170,14,0)</f>
        <v>Em andamento</v>
      </c>
      <c r="J84" s="294"/>
      <c r="K84" s="296">
        <v>91</v>
      </c>
      <c r="L84" s="357"/>
      <c r="M84" s="373">
        <v>500000</v>
      </c>
      <c r="N84" s="376">
        <v>43101</v>
      </c>
      <c r="O84" s="376">
        <v>43435</v>
      </c>
      <c r="P84" s="357"/>
      <c r="Q84" s="357"/>
      <c r="R84" s="368"/>
      <c r="S84" s="370" t="str">
        <f t="shared" si="6"/>
        <v xml:space="preserve">A51.01 - Realizar aquisição de solução </v>
      </c>
      <c r="T84" s="371">
        <f t="shared" ca="1" si="7"/>
        <v>25</v>
      </c>
      <c r="U84" s="371">
        <f t="shared" ca="1" si="8"/>
        <v>359</v>
      </c>
    </row>
    <row r="85" spans="1:21" ht="50.1" customHeight="1" x14ac:dyDescent="0.25">
      <c r="A85" s="283" t="s">
        <v>202</v>
      </c>
      <c r="B85" s="284" t="s">
        <v>849</v>
      </c>
      <c r="C85" s="213" t="s">
        <v>957</v>
      </c>
      <c r="D85" s="285" t="s">
        <v>1085</v>
      </c>
      <c r="E85" s="246" t="s">
        <v>203</v>
      </c>
      <c r="F85" s="286" t="s">
        <v>380</v>
      </c>
      <c r="G85" s="286">
        <f>VLOOKUP(D85,'3-Plano de Ações'!$D$2:$S$177,16,0)</f>
        <v>0</v>
      </c>
      <c r="H85" s="286" t="s">
        <v>1361</v>
      </c>
      <c r="I85" s="375" t="str">
        <f>VLOOKUP(D85,'3-Plano de Ações'!$D$3:$Q$170,14,0)</f>
        <v>Não Iniciado</v>
      </c>
      <c r="J85" s="294"/>
      <c r="K85" s="296">
        <v>92</v>
      </c>
      <c r="L85" s="357"/>
      <c r="M85" s="373"/>
      <c r="N85" s="376">
        <v>43101</v>
      </c>
      <c r="O85" s="376">
        <v>43374</v>
      </c>
      <c r="P85" s="357"/>
      <c r="Q85" s="357"/>
      <c r="R85" s="368" t="s">
        <v>1292</v>
      </c>
      <c r="S85" s="370" t="str">
        <f t="shared" si="6"/>
        <v>A54.01 - Realizar implantação do sistem</v>
      </c>
      <c r="T85" s="371">
        <f t="shared" ca="1" si="7"/>
        <v>25</v>
      </c>
      <c r="U85" s="371">
        <f t="shared" ca="1" si="8"/>
        <v>298</v>
      </c>
    </row>
    <row r="86" spans="1:21" ht="50.1" customHeight="1" x14ac:dyDescent="0.25">
      <c r="A86" s="283" t="s">
        <v>284</v>
      </c>
      <c r="B86" s="284" t="s">
        <v>850</v>
      </c>
      <c r="C86" s="213" t="s">
        <v>285</v>
      </c>
      <c r="D86" s="285" t="s">
        <v>1056</v>
      </c>
      <c r="E86" s="246" t="s">
        <v>783</v>
      </c>
      <c r="F86" s="286" t="s">
        <v>380</v>
      </c>
      <c r="G86" s="286" t="str">
        <f>VLOOKUP(D86,'3-Plano de Ações'!$D$2:$S$177,16,0)</f>
        <v>Ação Continuada</v>
      </c>
      <c r="H86" s="286" t="s">
        <v>1358</v>
      </c>
      <c r="I86" s="375" t="str">
        <f>VLOOKUP(D86,'3-Plano de Ações'!$D$3:$Q$170,14,0)</f>
        <v>Em andamento</v>
      </c>
      <c r="J86" s="294"/>
      <c r="K86" s="296">
        <v>32</v>
      </c>
      <c r="L86" s="357"/>
      <c r="M86" s="373"/>
      <c r="N86" s="376">
        <v>42856</v>
      </c>
      <c r="O86" s="376">
        <v>43435</v>
      </c>
      <c r="P86" s="366" t="s">
        <v>1317</v>
      </c>
      <c r="Q86" s="357" t="s">
        <v>1297</v>
      </c>
      <c r="R86" s="368"/>
      <c r="S86" s="370" t="str">
        <f t="shared" si="6"/>
        <v>A56.01 - Garantir continuidade ao negóc</v>
      </c>
      <c r="T86" s="371">
        <f t="shared" ca="1" si="7"/>
        <v>-220</v>
      </c>
      <c r="U86" s="371">
        <f t="shared" ca="1" si="8"/>
        <v>359</v>
      </c>
    </row>
    <row r="87" spans="1:21" ht="50.1" customHeight="1" x14ac:dyDescent="0.25">
      <c r="A87" s="283" t="s">
        <v>781</v>
      </c>
      <c r="B87" s="284" t="s">
        <v>852</v>
      </c>
      <c r="C87" s="213" t="s">
        <v>823</v>
      </c>
      <c r="D87" s="285" t="s">
        <v>1053</v>
      </c>
      <c r="E87" s="246" t="s">
        <v>822</v>
      </c>
      <c r="F87" s="286" t="s">
        <v>380</v>
      </c>
      <c r="G87" s="286" t="str">
        <f>VLOOKUP(D87,'3-Plano de Ações'!$D$2:$S$177,16,0)</f>
        <v>Ação Continuada</v>
      </c>
      <c r="H87" s="286" t="s">
        <v>1358</v>
      </c>
      <c r="I87" s="375" t="str">
        <f>VLOOKUP(D87,'3-Plano de Ações'!$D$3:$Q$170,14,0)</f>
        <v>Em andamento</v>
      </c>
      <c r="J87" s="294"/>
      <c r="K87" s="296">
        <v>33</v>
      </c>
      <c r="L87" s="357"/>
      <c r="M87" s="373"/>
      <c r="N87" s="376">
        <v>42856</v>
      </c>
      <c r="O87" s="376">
        <v>43435</v>
      </c>
      <c r="P87" s="366" t="s">
        <v>1318</v>
      </c>
      <c r="Q87" s="357" t="s">
        <v>1297</v>
      </c>
      <c r="R87" s="368" t="s">
        <v>1296</v>
      </c>
      <c r="S87" s="370" t="str">
        <f t="shared" si="6"/>
        <v>A57.01 - Executar atividades de desenvo</v>
      </c>
      <c r="T87" s="371">
        <f t="shared" ca="1" si="7"/>
        <v>-220</v>
      </c>
      <c r="U87" s="371">
        <f t="shared" ca="1" si="8"/>
        <v>359</v>
      </c>
    </row>
    <row r="88" spans="1:21" ht="50.1" customHeight="1" x14ac:dyDescent="0.25">
      <c r="A88" s="283" t="s">
        <v>781</v>
      </c>
      <c r="B88" s="284" t="s">
        <v>852</v>
      </c>
      <c r="C88" s="213" t="s">
        <v>823</v>
      </c>
      <c r="D88" s="285" t="s">
        <v>1041</v>
      </c>
      <c r="E88" s="317" t="s">
        <v>807</v>
      </c>
      <c r="F88" s="286" t="s">
        <v>380</v>
      </c>
      <c r="G88" s="286" t="str">
        <f>VLOOKUP(D88,'3-Plano de Ações'!$D$2:$S$177,16,0)</f>
        <v>Ação Continuada</v>
      </c>
      <c r="H88" s="286" t="s">
        <v>1358</v>
      </c>
      <c r="I88" s="375" t="str">
        <f>VLOOKUP(D88,'3-Plano de Ações'!$D$3:$Q$170,14,0)</f>
        <v>Em andamento</v>
      </c>
      <c r="J88" s="294"/>
      <c r="K88" s="296">
        <v>34</v>
      </c>
      <c r="L88" s="357"/>
      <c r="M88" s="373"/>
      <c r="N88" s="376">
        <v>42856</v>
      </c>
      <c r="O88" s="376">
        <v>43070</v>
      </c>
      <c r="P88" s="366" t="s">
        <v>1312</v>
      </c>
      <c r="Q88" s="357" t="s">
        <v>1297</v>
      </c>
      <c r="R88" s="368" t="s">
        <v>1275</v>
      </c>
      <c r="S88" s="370" t="str">
        <f t="shared" si="6"/>
        <v>A57.02 - Efetuar processamento de carga</v>
      </c>
      <c r="T88" s="371">
        <f t="shared" ca="1" si="7"/>
        <v>-220</v>
      </c>
      <c r="U88" s="371">
        <f t="shared" ca="1" si="8"/>
        <v>-6</v>
      </c>
    </row>
    <row r="89" spans="1:21" ht="50.1" customHeight="1" x14ac:dyDescent="0.25">
      <c r="A89" s="283" t="s">
        <v>781</v>
      </c>
      <c r="B89" s="284" t="s">
        <v>852</v>
      </c>
      <c r="C89" s="213" t="s">
        <v>823</v>
      </c>
      <c r="D89" s="285" t="s">
        <v>1082</v>
      </c>
      <c r="E89" s="246" t="s">
        <v>831</v>
      </c>
      <c r="F89" s="286" t="s">
        <v>825</v>
      </c>
      <c r="G89" s="286" t="str">
        <f>VLOOKUP(D89,'3-Plano de Ações'!$D$2:$S$177,16,0)</f>
        <v>Ação Continuada</v>
      </c>
      <c r="H89" s="286" t="s">
        <v>1358</v>
      </c>
      <c r="I89" s="375" t="str">
        <f>VLOOKUP(D89,'3-Plano de Ações'!$D$3:$Q$170,14,0)</f>
        <v>Em andamento</v>
      </c>
      <c r="J89" s="294"/>
      <c r="K89" s="296">
        <v>35</v>
      </c>
      <c r="L89" s="357"/>
      <c r="M89" s="373"/>
      <c r="N89" s="376">
        <v>42736</v>
      </c>
      <c r="O89" s="376">
        <v>43435</v>
      </c>
      <c r="P89" s="357"/>
      <c r="Q89" s="357"/>
      <c r="R89" s="368"/>
      <c r="S89" s="370" t="str">
        <f t="shared" si="6"/>
        <v>A57.03 - Realizar atividadades de apoio</v>
      </c>
      <c r="T89" s="371">
        <f t="shared" ca="1" si="7"/>
        <v>-340</v>
      </c>
      <c r="U89" s="371">
        <f t="shared" ca="1" si="8"/>
        <v>359</v>
      </c>
    </row>
    <row r="90" spans="1:21" ht="50.1" customHeight="1" x14ac:dyDescent="0.25">
      <c r="A90" s="283" t="s">
        <v>781</v>
      </c>
      <c r="B90" s="284" t="s">
        <v>852</v>
      </c>
      <c r="C90" s="213" t="s">
        <v>823</v>
      </c>
      <c r="D90" s="285" t="s">
        <v>1055</v>
      </c>
      <c r="E90" s="246" t="s">
        <v>792</v>
      </c>
      <c r="F90" s="286" t="s">
        <v>825</v>
      </c>
      <c r="G90" s="286" t="str">
        <f>VLOOKUP(D90,'3-Plano de Ações'!$D$2:$S$177,16,0)</f>
        <v>Ação Continuada</v>
      </c>
      <c r="H90" s="286" t="s">
        <v>1358</v>
      </c>
      <c r="I90" s="375" t="str">
        <f>VLOOKUP(D90,'3-Plano de Ações'!$D$3:$Q$170,14,0)</f>
        <v>Em andamento</v>
      </c>
      <c r="J90" s="294"/>
      <c r="K90" s="296">
        <v>36</v>
      </c>
      <c r="L90" s="357"/>
      <c r="M90" s="373"/>
      <c r="N90" s="376">
        <v>42736</v>
      </c>
      <c r="O90" s="376">
        <v>43435</v>
      </c>
      <c r="P90" s="357"/>
      <c r="Q90" s="357"/>
      <c r="R90" s="368"/>
      <c r="S90" s="370" t="str">
        <f t="shared" si="6"/>
        <v>A57.04 - Garantir continuidade ao negóc</v>
      </c>
      <c r="T90" s="371">
        <f t="shared" ca="1" si="7"/>
        <v>-340</v>
      </c>
      <c r="U90" s="371">
        <f t="shared" ca="1" si="8"/>
        <v>359</v>
      </c>
    </row>
    <row r="91" spans="1:21" ht="50.1" customHeight="1" x14ac:dyDescent="0.25">
      <c r="A91" s="283" t="s">
        <v>781</v>
      </c>
      <c r="B91" s="284" t="s">
        <v>852</v>
      </c>
      <c r="C91" s="213" t="s">
        <v>823</v>
      </c>
      <c r="D91" s="285" t="s">
        <v>1057</v>
      </c>
      <c r="E91" s="246" t="s">
        <v>782</v>
      </c>
      <c r="F91" s="286" t="s">
        <v>220</v>
      </c>
      <c r="G91" s="286" t="str">
        <f>VLOOKUP(D91,'3-Plano de Ações'!$D$2:$S$177,16,0)</f>
        <v>Ação Continuada</v>
      </c>
      <c r="H91" s="286" t="s">
        <v>1358</v>
      </c>
      <c r="I91" s="375" t="str">
        <f>VLOOKUP(D91,'3-Plano de Ações'!$D$3:$Q$170,14,0)</f>
        <v>Em andamento</v>
      </c>
      <c r="J91" s="294"/>
      <c r="K91" s="296">
        <v>37</v>
      </c>
      <c r="L91" s="357"/>
      <c r="M91" s="373"/>
      <c r="N91" s="376">
        <v>42736</v>
      </c>
      <c r="O91" s="376">
        <v>43435</v>
      </c>
      <c r="P91" s="357"/>
      <c r="Q91" s="357"/>
      <c r="R91" s="368"/>
      <c r="S91" s="370" t="str">
        <f t="shared" si="6"/>
        <v>A57.05 - Gerenciar contratação de mão d</v>
      </c>
      <c r="T91" s="371">
        <f t="shared" ca="1" si="7"/>
        <v>-340</v>
      </c>
      <c r="U91" s="371">
        <f t="shared" ca="1" si="8"/>
        <v>359</v>
      </c>
    </row>
    <row r="92" spans="1:21" ht="50.1" customHeight="1" x14ac:dyDescent="0.25">
      <c r="A92" s="283" t="s">
        <v>781</v>
      </c>
      <c r="B92" s="284" t="s">
        <v>852</v>
      </c>
      <c r="C92" s="213" t="s">
        <v>823</v>
      </c>
      <c r="D92" s="285" t="s">
        <v>839</v>
      </c>
      <c r="E92" s="246" t="s">
        <v>780</v>
      </c>
      <c r="F92" s="286" t="s">
        <v>825</v>
      </c>
      <c r="G92" s="286" t="str">
        <f>VLOOKUP(D92,'3-Plano de Ações'!$D$2:$S$177,16,0)</f>
        <v>Ação Continuada</v>
      </c>
      <c r="H92" s="286" t="s">
        <v>1358</v>
      </c>
      <c r="I92" s="375" t="str">
        <f>VLOOKUP(D92,'3-Plano de Ações'!$D$3:$Q$170,14,0)</f>
        <v>Em andamento</v>
      </c>
      <c r="J92" s="294"/>
      <c r="K92" s="296">
        <v>38</v>
      </c>
      <c r="L92" s="357"/>
      <c r="M92" s="373"/>
      <c r="N92" s="376">
        <v>42736</v>
      </c>
      <c r="O92" s="376">
        <v>43435</v>
      </c>
      <c r="P92" s="357"/>
      <c r="Q92" s="357"/>
      <c r="R92" s="368"/>
      <c r="S92" s="370" t="str">
        <f t="shared" si="6"/>
        <v>A57.06 - Gerenciar contratação de outso</v>
      </c>
      <c r="T92" s="371">
        <f t="shared" ca="1" si="7"/>
        <v>-340</v>
      </c>
      <c r="U92" s="371">
        <f t="shared" ca="1" si="8"/>
        <v>359</v>
      </c>
    </row>
    <row r="93" spans="1:21" ht="50.1" customHeight="1" x14ac:dyDescent="0.25">
      <c r="A93" s="283" t="s">
        <v>781</v>
      </c>
      <c r="B93" s="284" t="s">
        <v>852</v>
      </c>
      <c r="C93" s="213" t="s">
        <v>823</v>
      </c>
      <c r="D93" s="285" t="s">
        <v>1058</v>
      </c>
      <c r="E93" s="246" t="s">
        <v>808</v>
      </c>
      <c r="F93" s="286" t="s">
        <v>825</v>
      </c>
      <c r="G93" s="286" t="str">
        <f>VLOOKUP(D93,'3-Plano de Ações'!$D$2:$S$177,16,0)</f>
        <v>Ação Continuada</v>
      </c>
      <c r="H93" s="286" t="s">
        <v>1358</v>
      </c>
      <c r="I93" s="375" t="str">
        <f>VLOOKUP(D93,'3-Plano de Ações'!$D$3:$Q$170,14,0)</f>
        <v>Em andamento</v>
      </c>
      <c r="J93" s="294"/>
      <c r="K93" s="296">
        <v>39</v>
      </c>
      <c r="L93" s="357"/>
      <c r="M93" s="373"/>
      <c r="N93" s="376">
        <v>42736</v>
      </c>
      <c r="O93" s="376">
        <v>43435</v>
      </c>
      <c r="P93" s="357"/>
      <c r="Q93" s="357"/>
      <c r="R93" s="368"/>
      <c r="S93" s="370" t="str">
        <f t="shared" si="6"/>
        <v xml:space="preserve">A57.07 - Gerenciar outras contratações </v>
      </c>
      <c r="T93" s="371">
        <f t="shared" ca="1" si="7"/>
        <v>-340</v>
      </c>
      <c r="U93" s="371">
        <f t="shared" ca="1" si="8"/>
        <v>359</v>
      </c>
    </row>
    <row r="94" spans="1:21" ht="50.1" customHeight="1" x14ac:dyDescent="0.25">
      <c r="A94" s="283" t="s">
        <v>912</v>
      </c>
      <c r="B94" s="284" t="s">
        <v>849</v>
      </c>
      <c r="C94" s="213" t="s">
        <v>920</v>
      </c>
      <c r="D94" s="285" t="s">
        <v>1078</v>
      </c>
      <c r="E94" s="246" t="s">
        <v>915</v>
      </c>
      <c r="F94" s="286" t="s">
        <v>380</v>
      </c>
      <c r="G94" s="286">
        <f>VLOOKUP(D94,'3-Plano de Ações'!$D$2:$S$177,16,0)</f>
        <v>0</v>
      </c>
      <c r="H94" s="286" t="s">
        <v>1340</v>
      </c>
      <c r="I94" s="375" t="e">
        <f>VLOOKUP(D94,'3-Plano de Ações'!$D$3:$Q$170,14,0)</f>
        <v>#N/A</v>
      </c>
      <c r="J94" s="294"/>
      <c r="K94" s="296">
        <v>93</v>
      </c>
      <c r="L94" s="357"/>
      <c r="M94" s="373"/>
      <c r="N94" s="376">
        <v>43344</v>
      </c>
      <c r="O94" s="376">
        <v>43405</v>
      </c>
      <c r="P94" s="357"/>
      <c r="Q94" s="357"/>
      <c r="R94" s="368" t="s">
        <v>1293</v>
      </c>
      <c r="S94" s="370" t="str">
        <f t="shared" si="6"/>
        <v>A59.01 - Prover solução de gestão de co</v>
      </c>
      <c r="T94" s="371">
        <f t="shared" ca="1" si="7"/>
        <v>268</v>
      </c>
      <c r="U94" s="371">
        <f t="shared" ca="1" si="8"/>
        <v>329</v>
      </c>
    </row>
    <row r="95" spans="1:21" ht="50.1" customHeight="1" x14ac:dyDescent="0.25">
      <c r="A95" s="283" t="s">
        <v>913</v>
      </c>
      <c r="B95" s="286" t="s">
        <v>849</v>
      </c>
      <c r="C95" s="246" t="s">
        <v>1152</v>
      </c>
      <c r="D95" s="91" t="s">
        <v>982</v>
      </c>
      <c r="E95" s="246" t="s">
        <v>916</v>
      </c>
      <c r="F95" s="286" t="s">
        <v>380</v>
      </c>
      <c r="G95" s="286" t="str">
        <f>VLOOKUP(D95,'3-Plano de Ações'!$D$2:$S$177,16,0)</f>
        <v>2017-2</v>
      </c>
      <c r="H95" s="286" t="s">
        <v>1343</v>
      </c>
      <c r="I95" s="375" t="str">
        <f>VLOOKUP(D95,'3-Plano de Ações'!$D$3:$Q$170,14,0)</f>
        <v>Concluído</v>
      </c>
      <c r="J95" s="294"/>
      <c r="K95" s="296">
        <v>40</v>
      </c>
      <c r="L95" s="357"/>
      <c r="M95" s="373"/>
      <c r="N95" s="376">
        <v>42856</v>
      </c>
      <c r="O95" s="376">
        <v>42917</v>
      </c>
      <c r="P95" s="366" t="s">
        <v>1319</v>
      </c>
      <c r="Q95" s="366"/>
      <c r="R95" s="368" t="s">
        <v>1298</v>
      </c>
      <c r="S95" s="370" t="str">
        <f t="shared" si="6"/>
        <v>A60.01 - Aprimorar o portal de acesso a</v>
      </c>
      <c r="T95" s="371">
        <f t="shared" ca="1" si="7"/>
        <v>-220</v>
      </c>
      <c r="U95" s="371">
        <f t="shared" ca="1" si="8"/>
        <v>-159</v>
      </c>
    </row>
    <row r="96" spans="1:21" ht="50.1" customHeight="1" x14ac:dyDescent="0.25">
      <c r="M96" s="374">
        <f>SUM(M2:M95)</f>
        <v>10550000</v>
      </c>
    </row>
  </sheetData>
  <autoFilter ref="A1:U96">
    <sortState ref="A2:U95">
      <sortCondition ref="L1:L95"/>
    </sortState>
  </autoFilter>
  <pageMargins left="0.511811024" right="0.511811024" top="0.78740157499999996" bottom="0.78740157499999996" header="0.31496062000000002" footer="0.31496062000000002"/>
  <pageSetup paperSize="9" scale="15" fitToWidth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opLeftCell="E1" workbookViewId="0">
      <selection activeCell="J29" sqref="J29"/>
    </sheetView>
  </sheetViews>
  <sheetFormatPr defaultRowHeight="15" x14ac:dyDescent="0.25"/>
  <cols>
    <col min="1" max="1" width="9.140625" style="28"/>
    <col min="2" max="2" width="27.7109375" style="28" customWidth="1"/>
    <col min="3" max="3" width="27.140625" style="28" customWidth="1"/>
    <col min="4" max="4" width="22.28515625" style="28" hidden="1" customWidth="1"/>
    <col min="5" max="5" width="23.7109375" style="28" customWidth="1"/>
    <col min="6" max="6" width="26" style="28" customWidth="1"/>
    <col min="7" max="7" width="107.42578125" style="28" customWidth="1"/>
    <col min="8" max="8" width="16.140625" style="28" customWidth="1"/>
    <col min="9" max="9" width="14.7109375" style="28" customWidth="1"/>
    <col min="10" max="10" width="32.42578125" style="28" customWidth="1"/>
    <col min="11" max="16384" width="9.140625" style="28"/>
  </cols>
  <sheetData>
    <row r="2" spans="1:10" ht="63.75" x14ac:dyDescent="0.25">
      <c r="A2" s="398" t="s">
        <v>1148</v>
      </c>
      <c r="B2" s="397" t="s">
        <v>1182</v>
      </c>
      <c r="C2" s="396" t="s">
        <v>1176</v>
      </c>
      <c r="D2" s="395" t="s">
        <v>1099</v>
      </c>
      <c r="E2" s="401" t="s">
        <v>1179</v>
      </c>
      <c r="F2" s="393" t="s">
        <v>1191</v>
      </c>
      <c r="G2" s="378" t="s">
        <v>1380</v>
      </c>
      <c r="H2" s="403">
        <v>42765</v>
      </c>
      <c r="I2" s="403">
        <v>42916</v>
      </c>
      <c r="J2" s="404" t="s">
        <v>1383</v>
      </c>
    </row>
    <row r="3" spans="1:10" ht="60" x14ac:dyDescent="0.25">
      <c r="A3" s="388" t="s">
        <v>117</v>
      </c>
      <c r="B3" s="229" t="s">
        <v>118</v>
      </c>
      <c r="C3" s="387" t="s">
        <v>1130</v>
      </c>
      <c r="D3" s="386" t="s">
        <v>1099</v>
      </c>
      <c r="E3" s="392" t="s">
        <v>1181</v>
      </c>
      <c r="F3" s="402" t="s">
        <v>1193</v>
      </c>
      <c r="G3" s="383"/>
      <c r="H3" s="403">
        <v>42857</v>
      </c>
      <c r="I3" s="403">
        <v>42916</v>
      </c>
    </row>
    <row r="4" spans="1:10" ht="60" x14ac:dyDescent="0.25">
      <c r="A4" s="390" t="s">
        <v>120</v>
      </c>
      <c r="B4" s="389" t="s">
        <v>918</v>
      </c>
      <c r="C4" s="229" t="s">
        <v>1170</v>
      </c>
      <c r="D4" s="386" t="s">
        <v>1099</v>
      </c>
      <c r="E4" s="392" t="s">
        <v>1179</v>
      </c>
      <c r="F4" s="384" t="s">
        <v>1190</v>
      </c>
      <c r="G4" s="383"/>
      <c r="H4" s="403">
        <v>42887</v>
      </c>
      <c r="I4" s="403">
        <v>42916</v>
      </c>
    </row>
    <row r="5" spans="1:10" ht="76.5" x14ac:dyDescent="0.25">
      <c r="A5" s="398" t="s">
        <v>913</v>
      </c>
      <c r="B5" s="397" t="s">
        <v>1152</v>
      </c>
      <c r="C5" s="396" t="s">
        <v>1142</v>
      </c>
      <c r="D5" s="395" t="s">
        <v>1099</v>
      </c>
      <c r="E5" s="401" t="s">
        <v>1179</v>
      </c>
      <c r="F5" s="393" t="s">
        <v>1202</v>
      </c>
      <c r="G5" s="378" t="s">
        <v>1379</v>
      </c>
      <c r="H5" s="403">
        <v>42857</v>
      </c>
      <c r="I5" s="403">
        <v>42944</v>
      </c>
    </row>
    <row r="6" spans="1:10" ht="60" x14ac:dyDescent="0.25">
      <c r="A6" s="398" t="s">
        <v>117</v>
      </c>
      <c r="B6" s="397" t="s">
        <v>118</v>
      </c>
      <c r="C6" s="396" t="s">
        <v>1132</v>
      </c>
      <c r="D6" s="395" t="s">
        <v>1099</v>
      </c>
      <c r="E6" s="401" t="s">
        <v>1179</v>
      </c>
      <c r="F6" s="393" t="s">
        <v>1190</v>
      </c>
      <c r="G6" s="378" t="s">
        <v>1378</v>
      </c>
      <c r="H6" s="403">
        <v>42887</v>
      </c>
      <c r="I6" s="403">
        <v>42916</v>
      </c>
    </row>
    <row r="7" spans="1:10" ht="60" x14ac:dyDescent="0.25">
      <c r="A7" s="400" t="s">
        <v>94</v>
      </c>
      <c r="B7" s="399" t="s">
        <v>95</v>
      </c>
      <c r="C7" s="397" t="s">
        <v>96</v>
      </c>
      <c r="D7" s="395" t="s">
        <v>1099</v>
      </c>
      <c r="E7" s="401" t="s">
        <v>1181</v>
      </c>
      <c r="F7" s="393" t="s">
        <v>1198</v>
      </c>
      <c r="G7" s="378" t="s">
        <v>1377</v>
      </c>
      <c r="H7" s="403">
        <v>42795</v>
      </c>
      <c r="I7" s="403">
        <v>42993</v>
      </c>
    </row>
    <row r="8" spans="1:10" ht="60" x14ac:dyDescent="0.25">
      <c r="A8" s="398" t="s">
        <v>284</v>
      </c>
      <c r="B8" s="397" t="s">
        <v>285</v>
      </c>
      <c r="C8" s="396" t="s">
        <v>1136</v>
      </c>
      <c r="D8" s="395" t="s">
        <v>1099</v>
      </c>
      <c r="E8" s="394" t="s">
        <v>1180</v>
      </c>
      <c r="F8" s="393" t="s">
        <v>1187</v>
      </c>
      <c r="G8" s="378" t="s">
        <v>1376</v>
      </c>
      <c r="H8" s="403">
        <v>43199</v>
      </c>
      <c r="I8" s="403">
        <v>43280</v>
      </c>
    </row>
    <row r="9" spans="1:10" ht="60" x14ac:dyDescent="0.25">
      <c r="A9" s="390" t="s">
        <v>132</v>
      </c>
      <c r="B9" s="389" t="s">
        <v>1153</v>
      </c>
      <c r="C9" s="229" t="s">
        <v>133</v>
      </c>
      <c r="D9" s="386" t="s">
        <v>1100</v>
      </c>
      <c r="E9" s="392" t="s">
        <v>1181</v>
      </c>
      <c r="F9" s="384" t="s">
        <v>1195</v>
      </c>
      <c r="G9" s="383"/>
      <c r="H9" s="403">
        <v>43318</v>
      </c>
      <c r="I9" s="403">
        <v>43425</v>
      </c>
    </row>
    <row r="10" spans="1:10" ht="60" x14ac:dyDescent="0.25">
      <c r="A10" s="400" t="s">
        <v>65</v>
      </c>
      <c r="B10" s="399" t="s">
        <v>66</v>
      </c>
      <c r="C10" s="397" t="s">
        <v>67</v>
      </c>
      <c r="D10" s="395" t="s">
        <v>1099</v>
      </c>
      <c r="E10" s="394" t="s">
        <v>1180</v>
      </c>
      <c r="F10" s="393" t="s">
        <v>1188</v>
      </c>
      <c r="G10" s="378" t="s">
        <v>1375</v>
      </c>
      <c r="H10" s="403">
        <v>42765</v>
      </c>
      <c r="I10" s="403">
        <v>43425</v>
      </c>
    </row>
    <row r="11" spans="1:10" ht="60" x14ac:dyDescent="0.25">
      <c r="A11" s="400" t="s">
        <v>124</v>
      </c>
      <c r="B11" s="399" t="s">
        <v>125</v>
      </c>
      <c r="C11" s="397" t="s">
        <v>126</v>
      </c>
      <c r="D11" s="395" t="s">
        <v>1099</v>
      </c>
      <c r="E11" s="394" t="s">
        <v>1180</v>
      </c>
      <c r="F11" s="393" t="s">
        <v>1197</v>
      </c>
      <c r="G11" s="378" t="s">
        <v>1374</v>
      </c>
      <c r="H11" s="403">
        <v>42919</v>
      </c>
      <c r="I11" s="403">
        <v>43155</v>
      </c>
      <c r="J11" s="404" t="s">
        <v>1384</v>
      </c>
    </row>
    <row r="12" spans="1:10" ht="89.25" x14ac:dyDescent="0.25">
      <c r="A12" s="388" t="s">
        <v>132</v>
      </c>
      <c r="B12" s="229" t="s">
        <v>1153</v>
      </c>
      <c r="C12" s="387" t="s">
        <v>1154</v>
      </c>
      <c r="D12" s="386" t="s">
        <v>1100</v>
      </c>
      <c r="E12" s="392" t="s">
        <v>1181</v>
      </c>
      <c r="F12" s="384" t="s">
        <v>1195</v>
      </c>
      <c r="G12" s="383"/>
      <c r="H12" s="403">
        <v>43318</v>
      </c>
      <c r="I12" s="403">
        <v>43425</v>
      </c>
    </row>
    <row r="13" spans="1:10" ht="75" x14ac:dyDescent="0.25">
      <c r="A13" s="388" t="s">
        <v>117</v>
      </c>
      <c r="B13" s="229" t="s">
        <v>118</v>
      </c>
      <c r="C13" s="387" t="s">
        <v>1126</v>
      </c>
      <c r="D13" s="386" t="s">
        <v>1100</v>
      </c>
      <c r="E13" s="385" t="s">
        <v>1180</v>
      </c>
      <c r="F13" s="384" t="s">
        <v>1203</v>
      </c>
      <c r="G13" s="383"/>
      <c r="H13" s="403">
        <v>43313</v>
      </c>
      <c r="I13" s="403">
        <v>43383</v>
      </c>
    </row>
    <row r="14" spans="1:10" ht="75" x14ac:dyDescent="0.25">
      <c r="A14" s="388" t="s">
        <v>117</v>
      </c>
      <c r="B14" s="229" t="s">
        <v>118</v>
      </c>
      <c r="C14" s="387" t="s">
        <v>1128</v>
      </c>
      <c r="D14" s="386" t="s">
        <v>1100</v>
      </c>
      <c r="E14" s="392" t="s">
        <v>1181</v>
      </c>
      <c r="F14" s="384" t="s">
        <v>1203</v>
      </c>
      <c r="G14" s="383"/>
      <c r="H14" s="403">
        <v>43313</v>
      </c>
      <c r="I14" s="403">
        <v>43383</v>
      </c>
    </row>
    <row r="15" spans="1:10" ht="76.5" x14ac:dyDescent="0.25">
      <c r="A15" s="398" t="s">
        <v>913</v>
      </c>
      <c r="B15" s="397" t="s">
        <v>1152</v>
      </c>
      <c r="C15" s="396" t="s">
        <v>1140</v>
      </c>
      <c r="D15" s="395" t="s">
        <v>1100</v>
      </c>
      <c r="E15" s="394" t="s">
        <v>1180</v>
      </c>
      <c r="F15" s="393" t="s">
        <v>1194</v>
      </c>
      <c r="G15" s="378" t="s">
        <v>1373</v>
      </c>
      <c r="H15" s="403">
        <v>42979</v>
      </c>
      <c r="I15" s="403">
        <v>43184</v>
      </c>
      <c r="J15" s="404" t="s">
        <v>1387</v>
      </c>
    </row>
    <row r="16" spans="1:10" ht="75" x14ac:dyDescent="0.25">
      <c r="A16" s="390" t="s">
        <v>121</v>
      </c>
      <c r="B16" s="389" t="s">
        <v>122</v>
      </c>
      <c r="C16" s="405" t="s">
        <v>123</v>
      </c>
      <c r="D16" s="386" t="s">
        <v>1100</v>
      </c>
      <c r="E16" s="392" t="s">
        <v>1181</v>
      </c>
      <c r="F16" s="384" t="s">
        <v>1194</v>
      </c>
      <c r="G16" s="383"/>
      <c r="H16" s="403">
        <v>42979</v>
      </c>
      <c r="I16" s="403">
        <v>43047</v>
      </c>
    </row>
    <row r="17" spans="1:10" ht="75" x14ac:dyDescent="0.25">
      <c r="A17" s="390" t="s">
        <v>15</v>
      </c>
      <c r="B17" s="389" t="s">
        <v>17</v>
      </c>
      <c r="C17" s="229" t="s">
        <v>1150</v>
      </c>
      <c r="D17" s="386" t="s">
        <v>1100</v>
      </c>
      <c r="E17" s="392" t="s">
        <v>1181</v>
      </c>
      <c r="F17" s="384" t="s">
        <v>1192</v>
      </c>
      <c r="G17" s="383"/>
      <c r="H17" s="403">
        <v>42856</v>
      </c>
      <c r="I17" s="403">
        <v>43190</v>
      </c>
    </row>
    <row r="18" spans="1:10" ht="89.25" x14ac:dyDescent="0.25">
      <c r="A18" s="388" t="s">
        <v>104</v>
      </c>
      <c r="B18" s="229" t="s">
        <v>1151</v>
      </c>
      <c r="C18" s="387" t="s">
        <v>1178</v>
      </c>
      <c r="D18" s="386" t="s">
        <v>1100</v>
      </c>
      <c r="E18" s="385" t="s">
        <v>1180</v>
      </c>
      <c r="F18" s="384" t="s">
        <v>1201</v>
      </c>
      <c r="G18" s="383"/>
      <c r="H18" s="403">
        <v>43318</v>
      </c>
      <c r="I18" s="403">
        <v>43383</v>
      </c>
      <c r="J18" s="404" t="s">
        <v>1382</v>
      </c>
    </row>
    <row r="19" spans="1:10" ht="75" x14ac:dyDescent="0.25">
      <c r="A19" s="388" t="s">
        <v>104</v>
      </c>
      <c r="B19" s="229" t="s">
        <v>1151</v>
      </c>
      <c r="C19" s="387" t="s">
        <v>1177</v>
      </c>
      <c r="D19" s="386" t="s">
        <v>1100</v>
      </c>
      <c r="E19" s="392" t="s">
        <v>1179</v>
      </c>
      <c r="F19" s="384" t="s">
        <v>1189</v>
      </c>
      <c r="G19" s="383"/>
      <c r="H19" s="403">
        <v>42948</v>
      </c>
      <c r="I19" s="403">
        <v>43047</v>
      </c>
    </row>
    <row r="20" spans="1:10" ht="75" x14ac:dyDescent="0.25">
      <c r="A20" s="287" t="s">
        <v>1146</v>
      </c>
      <c r="B20" s="246" t="s">
        <v>1147</v>
      </c>
      <c r="C20" s="276" t="s">
        <v>1144</v>
      </c>
      <c r="D20" s="375" t="s">
        <v>1100</v>
      </c>
      <c r="E20" s="291" t="s">
        <v>1180</v>
      </c>
      <c r="F20" s="391" t="s">
        <v>1332</v>
      </c>
      <c r="G20" s="378" t="s">
        <v>1372</v>
      </c>
      <c r="H20" s="403">
        <v>42856</v>
      </c>
      <c r="I20" s="403">
        <v>43008</v>
      </c>
    </row>
    <row r="21" spans="1:10" ht="60" x14ac:dyDescent="0.25">
      <c r="A21" s="390" t="s">
        <v>911</v>
      </c>
      <c r="B21" s="389" t="s">
        <v>919</v>
      </c>
      <c r="C21" s="229" t="s">
        <v>914</v>
      </c>
      <c r="D21" s="386" t="s">
        <v>1100</v>
      </c>
      <c r="E21" s="392" t="s">
        <v>1181</v>
      </c>
      <c r="F21" s="384" t="s">
        <v>1196</v>
      </c>
      <c r="G21" s="383"/>
      <c r="H21" s="403">
        <v>43318</v>
      </c>
      <c r="I21" s="403">
        <v>43383</v>
      </c>
      <c r="J21" s="404" t="s">
        <v>1388</v>
      </c>
    </row>
    <row r="22" spans="1:10" ht="75" x14ac:dyDescent="0.25">
      <c r="A22" s="388" t="s">
        <v>284</v>
      </c>
      <c r="B22" s="229" t="s">
        <v>285</v>
      </c>
      <c r="C22" s="387" t="s">
        <v>1138</v>
      </c>
      <c r="D22" s="386" t="s">
        <v>1100</v>
      </c>
      <c r="E22" s="385" t="s">
        <v>1180</v>
      </c>
      <c r="F22" s="384" t="s">
        <v>1186</v>
      </c>
      <c r="G22" s="383"/>
      <c r="H22" s="403">
        <v>43101</v>
      </c>
      <c r="I22" s="403">
        <v>43311</v>
      </c>
    </row>
    <row r="23" spans="1:10" ht="60" x14ac:dyDescent="0.25">
      <c r="A23" s="283" t="s">
        <v>28</v>
      </c>
      <c r="B23" s="213" t="s">
        <v>29</v>
      </c>
      <c r="C23" s="246" t="s">
        <v>769</v>
      </c>
      <c r="D23" s="375" t="s">
        <v>1100</v>
      </c>
      <c r="E23" s="291" t="s">
        <v>1180</v>
      </c>
      <c r="F23" s="391" t="s">
        <v>1199</v>
      </c>
      <c r="G23" s="404" t="s">
        <v>1381</v>
      </c>
      <c r="H23" s="403">
        <v>43160</v>
      </c>
      <c r="I23" s="403">
        <v>43311</v>
      </c>
    </row>
    <row r="24" spans="1:10" ht="60" x14ac:dyDescent="0.25">
      <c r="A24" s="390" t="s">
        <v>30</v>
      </c>
      <c r="B24" s="389" t="s">
        <v>31</v>
      </c>
      <c r="C24" s="229" t="s">
        <v>960</v>
      </c>
      <c r="D24" s="386" t="s">
        <v>1100</v>
      </c>
      <c r="E24" s="385" t="s">
        <v>1180</v>
      </c>
      <c r="F24" s="384" t="s">
        <v>1200</v>
      </c>
      <c r="G24" s="383"/>
      <c r="H24" s="403">
        <v>43199</v>
      </c>
      <c r="I24" s="403">
        <v>43371</v>
      </c>
      <c r="J24" s="406" t="s">
        <v>1389</v>
      </c>
    </row>
    <row r="25" spans="1:10" ht="60" x14ac:dyDescent="0.25">
      <c r="A25" s="388" t="s">
        <v>284</v>
      </c>
      <c r="B25" s="229" t="s">
        <v>285</v>
      </c>
      <c r="C25" s="387" t="s">
        <v>1134</v>
      </c>
      <c r="D25" s="386" t="s">
        <v>1100</v>
      </c>
      <c r="E25" s="385" t="s">
        <v>1180</v>
      </c>
      <c r="F25" s="384" t="s">
        <v>1188</v>
      </c>
      <c r="G25" s="383"/>
      <c r="H25" s="403">
        <v>43381</v>
      </c>
      <c r="I25" s="403">
        <v>43425</v>
      </c>
    </row>
    <row r="26" spans="1:10" s="93" customFormat="1" ht="60" customHeight="1" x14ac:dyDescent="0.2">
      <c r="A26" s="381" t="s">
        <v>117</v>
      </c>
      <c r="B26" s="382" t="s">
        <v>118</v>
      </c>
      <c r="C26" s="382" t="s">
        <v>1156</v>
      </c>
      <c r="D26" s="381" t="s">
        <v>1100</v>
      </c>
      <c r="E26" s="380" t="s">
        <v>1180</v>
      </c>
      <c r="F26" s="379" t="s">
        <v>1371</v>
      </c>
      <c r="G26" s="378" t="s">
        <v>1368</v>
      </c>
      <c r="H26" s="403">
        <v>42979</v>
      </c>
      <c r="I26" s="403">
        <v>43184</v>
      </c>
      <c r="J26" s="404" t="s">
        <v>1387</v>
      </c>
    </row>
    <row r="27" spans="1:10" s="93" customFormat="1" ht="60" customHeight="1" x14ac:dyDescent="0.2">
      <c r="A27" s="381" t="s">
        <v>130</v>
      </c>
      <c r="B27" s="382" t="s">
        <v>118</v>
      </c>
      <c r="C27" s="382" t="s">
        <v>1158</v>
      </c>
      <c r="D27" s="381" t="s">
        <v>1100</v>
      </c>
      <c r="E27" s="380" t="s">
        <v>1180</v>
      </c>
      <c r="F27" s="379" t="s">
        <v>1370</v>
      </c>
      <c r="G27" s="378" t="s">
        <v>1368</v>
      </c>
      <c r="H27" s="403">
        <v>42979</v>
      </c>
      <c r="I27" s="403">
        <v>43184</v>
      </c>
      <c r="J27" s="404" t="s">
        <v>1386</v>
      </c>
    </row>
    <row r="28" spans="1:10" s="93" customFormat="1" ht="60" customHeight="1" x14ac:dyDescent="0.2">
      <c r="A28" s="381" t="s">
        <v>178</v>
      </c>
      <c r="B28" s="382" t="s">
        <v>118</v>
      </c>
      <c r="C28" s="382" t="s">
        <v>1157</v>
      </c>
      <c r="D28" s="381" t="s">
        <v>1100</v>
      </c>
      <c r="E28" s="380" t="s">
        <v>1180</v>
      </c>
      <c r="F28" s="379" t="s">
        <v>1369</v>
      </c>
      <c r="G28" s="378" t="s">
        <v>1368</v>
      </c>
      <c r="H28" s="403">
        <v>42979</v>
      </c>
      <c r="I28" s="403">
        <v>43184</v>
      </c>
      <c r="J28" s="404" t="s">
        <v>1386</v>
      </c>
    </row>
    <row r="29" spans="1:10" ht="76.5" customHeight="1" x14ac:dyDescent="0.25">
      <c r="A29" s="381" t="s">
        <v>202</v>
      </c>
      <c r="B29" s="382" t="s">
        <v>957</v>
      </c>
      <c r="C29" s="382" t="s">
        <v>203</v>
      </c>
      <c r="D29" s="381"/>
      <c r="E29" s="380" t="s">
        <v>1180</v>
      </c>
      <c r="F29" s="379" t="s">
        <v>1385</v>
      </c>
      <c r="G29" s="404" t="s">
        <v>1368</v>
      </c>
      <c r="H29" s="403">
        <v>43101</v>
      </c>
      <c r="I29" s="403">
        <v>43383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6" workbookViewId="0">
      <selection activeCell="B43" sqref="B43"/>
    </sheetView>
  </sheetViews>
  <sheetFormatPr defaultRowHeight="15" x14ac:dyDescent="0.25"/>
  <cols>
    <col min="1" max="1" width="40.85546875" customWidth="1"/>
    <col min="2" max="2" width="29.140625" customWidth="1"/>
    <col min="6" max="6" width="37.140625" customWidth="1"/>
    <col min="7" max="7" width="22.140625" bestFit="1" customWidth="1"/>
  </cols>
  <sheetData>
    <row r="1" spans="1:8" ht="15.75" thickBot="1" x14ac:dyDescent="0.3">
      <c r="A1" s="359" t="s">
        <v>1222</v>
      </c>
      <c r="B1" s="360" t="s">
        <v>1223</v>
      </c>
    </row>
    <row r="2" spans="1:8" ht="15.75" thickTop="1" x14ac:dyDescent="0.25">
      <c r="A2" s="361" t="s">
        <v>1224</v>
      </c>
      <c r="B2" s="362" t="s">
        <v>1225</v>
      </c>
      <c r="F2" s="355" t="s">
        <v>1265</v>
      </c>
      <c r="G2" t="s">
        <v>1266</v>
      </c>
    </row>
    <row r="3" spans="1:8" x14ac:dyDescent="0.25">
      <c r="A3" s="361" t="s">
        <v>1226</v>
      </c>
      <c r="B3" s="362" t="s">
        <v>1227</v>
      </c>
      <c r="F3" s="192" t="s">
        <v>1231</v>
      </c>
      <c r="G3" s="193">
        <v>1</v>
      </c>
    </row>
    <row r="4" spans="1:8" x14ac:dyDescent="0.25">
      <c r="A4" s="361" t="s">
        <v>1228</v>
      </c>
      <c r="B4" s="362" t="s">
        <v>1229</v>
      </c>
      <c r="F4" s="192" t="s">
        <v>1234</v>
      </c>
      <c r="G4" s="193">
        <v>6</v>
      </c>
    </row>
    <row r="5" spans="1:8" x14ac:dyDescent="0.25">
      <c r="A5" s="361" t="s">
        <v>1230</v>
      </c>
      <c r="B5" s="362" t="s">
        <v>1231</v>
      </c>
      <c r="F5" s="192" t="s">
        <v>1227</v>
      </c>
      <c r="G5" s="193">
        <v>4</v>
      </c>
    </row>
    <row r="6" spans="1:8" x14ac:dyDescent="0.25">
      <c r="A6" s="361" t="s">
        <v>1232</v>
      </c>
      <c r="B6" s="362" t="s">
        <v>1225</v>
      </c>
      <c r="F6" s="192" t="s">
        <v>1254</v>
      </c>
      <c r="G6" s="193">
        <v>6</v>
      </c>
    </row>
    <row r="7" spans="1:8" x14ac:dyDescent="0.25">
      <c r="A7" s="361" t="s">
        <v>1233</v>
      </c>
      <c r="B7" s="362" t="s">
        <v>1234</v>
      </c>
      <c r="F7" s="192" t="s">
        <v>1225</v>
      </c>
      <c r="G7" s="193">
        <v>9</v>
      </c>
    </row>
    <row r="8" spans="1:8" x14ac:dyDescent="0.25">
      <c r="A8" s="361" t="s">
        <v>1235</v>
      </c>
      <c r="B8" s="362" t="s">
        <v>1234</v>
      </c>
      <c r="F8" s="192" t="s">
        <v>1244</v>
      </c>
      <c r="G8" s="193">
        <v>3</v>
      </c>
    </row>
    <row r="9" spans="1:8" x14ac:dyDescent="0.25">
      <c r="A9" s="361" t="s">
        <v>1236</v>
      </c>
      <c r="B9" s="362" t="s">
        <v>1225</v>
      </c>
      <c r="F9" s="192" t="s">
        <v>1229</v>
      </c>
      <c r="G9" s="193">
        <v>1</v>
      </c>
    </row>
    <row r="10" spans="1:8" x14ac:dyDescent="0.25">
      <c r="A10" s="361" t="s">
        <v>1237</v>
      </c>
      <c r="B10" s="362" t="s">
        <v>1227</v>
      </c>
      <c r="F10" s="192" t="s">
        <v>1259</v>
      </c>
      <c r="G10" s="193">
        <v>1</v>
      </c>
    </row>
    <row r="11" spans="1:8" s="28" customFormat="1" x14ac:dyDescent="0.25">
      <c r="A11" s="361" t="s">
        <v>1264</v>
      </c>
      <c r="B11" s="362" t="s">
        <v>1234</v>
      </c>
      <c r="F11" s="192" t="s">
        <v>1242</v>
      </c>
      <c r="G11" s="193">
        <v>1</v>
      </c>
      <c r="H11"/>
    </row>
    <row r="12" spans="1:8" x14ac:dyDescent="0.25">
      <c r="A12" s="361" t="s">
        <v>1238</v>
      </c>
      <c r="B12" s="362" t="s">
        <v>1227</v>
      </c>
      <c r="F12" s="192" t="s">
        <v>1221</v>
      </c>
      <c r="G12" s="193">
        <v>32</v>
      </c>
    </row>
    <row r="13" spans="1:8" x14ac:dyDescent="0.25">
      <c r="A13" s="361" t="s">
        <v>1239</v>
      </c>
      <c r="B13" s="362" t="s">
        <v>1225</v>
      </c>
    </row>
    <row r="14" spans="1:8" x14ac:dyDescent="0.25">
      <c r="A14" s="361" t="s">
        <v>1240</v>
      </c>
      <c r="B14" s="362" t="s">
        <v>1225</v>
      </c>
    </row>
    <row r="15" spans="1:8" x14ac:dyDescent="0.25">
      <c r="A15" s="361" t="s">
        <v>1241</v>
      </c>
      <c r="B15" s="362" t="s">
        <v>1242</v>
      </c>
    </row>
    <row r="16" spans="1:8" x14ac:dyDescent="0.25">
      <c r="A16" s="361" t="s">
        <v>1243</v>
      </c>
      <c r="B16" s="362" t="s">
        <v>1244</v>
      </c>
    </row>
    <row r="17" spans="1:2" x14ac:dyDescent="0.25">
      <c r="A17" s="361" t="s">
        <v>1245</v>
      </c>
      <c r="B17" s="362" t="s">
        <v>1227</v>
      </c>
    </row>
    <row r="18" spans="1:2" x14ac:dyDescent="0.25">
      <c r="A18" s="361" t="s">
        <v>1246</v>
      </c>
      <c r="B18" s="362" t="s">
        <v>1225</v>
      </c>
    </row>
    <row r="19" spans="1:2" x14ac:dyDescent="0.25">
      <c r="A19" s="361" t="s">
        <v>1247</v>
      </c>
      <c r="B19" s="362" t="s">
        <v>1225</v>
      </c>
    </row>
    <row r="20" spans="1:2" x14ac:dyDescent="0.25">
      <c r="A20" s="361" t="s">
        <v>1248</v>
      </c>
      <c r="B20" s="362" t="s">
        <v>1244</v>
      </c>
    </row>
    <row r="21" spans="1:2" x14ac:dyDescent="0.25">
      <c r="A21" s="361" t="s">
        <v>1249</v>
      </c>
      <c r="B21" s="362" t="s">
        <v>1244</v>
      </c>
    </row>
    <row r="22" spans="1:2" x14ac:dyDescent="0.25">
      <c r="A22" s="361" t="s">
        <v>1250</v>
      </c>
      <c r="B22" s="362" t="s">
        <v>1225</v>
      </c>
    </row>
    <row r="23" spans="1:2" x14ac:dyDescent="0.25">
      <c r="A23" s="361" t="s">
        <v>1251</v>
      </c>
      <c r="B23" s="362" t="s">
        <v>1234</v>
      </c>
    </row>
    <row r="24" spans="1:2" x14ac:dyDescent="0.25">
      <c r="A24" s="361" t="s">
        <v>1252</v>
      </c>
      <c r="B24" s="362" t="s">
        <v>1225</v>
      </c>
    </row>
    <row r="25" spans="1:2" s="28" customFormat="1" x14ac:dyDescent="0.25">
      <c r="A25" s="361" t="s">
        <v>1263</v>
      </c>
      <c r="B25" s="362" t="s">
        <v>1234</v>
      </c>
    </row>
    <row r="26" spans="1:2" s="28" customFormat="1" x14ac:dyDescent="0.25">
      <c r="A26" s="361" t="s">
        <v>1263</v>
      </c>
      <c r="B26" s="362" t="s">
        <v>1234</v>
      </c>
    </row>
    <row r="27" spans="1:2" x14ac:dyDescent="0.25">
      <c r="A27" s="361" t="s">
        <v>1253</v>
      </c>
      <c r="B27" s="362" t="s">
        <v>1254</v>
      </c>
    </row>
    <row r="28" spans="1:2" x14ac:dyDescent="0.25">
      <c r="A28" s="361" t="s">
        <v>1255</v>
      </c>
      <c r="B28" s="362" t="s">
        <v>1254</v>
      </c>
    </row>
    <row r="29" spans="1:2" x14ac:dyDescent="0.25">
      <c r="A29" s="361" t="s">
        <v>1256</v>
      </c>
      <c r="B29" s="362" t="s">
        <v>1254</v>
      </c>
    </row>
    <row r="30" spans="1:2" x14ac:dyDescent="0.25">
      <c r="A30" s="361" t="s">
        <v>1257</v>
      </c>
      <c r="B30" s="362" t="s">
        <v>1254</v>
      </c>
    </row>
    <row r="31" spans="1:2" x14ac:dyDescent="0.25">
      <c r="A31" s="361" t="s">
        <v>1258</v>
      </c>
      <c r="B31" s="362" t="s">
        <v>1259</v>
      </c>
    </row>
    <row r="32" spans="1:2" x14ac:dyDescent="0.25">
      <c r="A32" s="361" t="s">
        <v>1260</v>
      </c>
      <c r="B32" s="362" t="s">
        <v>1254</v>
      </c>
    </row>
    <row r="33" spans="1:2" ht="15.75" thickBot="1" x14ac:dyDescent="0.3">
      <c r="A33" s="361" t="s">
        <v>1261</v>
      </c>
      <c r="B33" s="362" t="s">
        <v>1254</v>
      </c>
    </row>
    <row r="34" spans="1:2" ht="15.75" thickTop="1" x14ac:dyDescent="0.25">
      <c r="A34" s="363" t="s">
        <v>1262</v>
      </c>
      <c r="B34" s="364">
        <f>COUNTA(A2:A33)</f>
        <v>32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opLeftCell="A19" zoomScale="70" zoomScaleNormal="160" workbookViewId="0">
      <selection activeCell="C67" sqref="C67"/>
    </sheetView>
  </sheetViews>
  <sheetFormatPr defaultColWidth="30.7109375" defaultRowHeight="39.950000000000003" customHeight="1" x14ac:dyDescent="0.2"/>
  <cols>
    <col min="1" max="1" width="11.5703125" style="93" customWidth="1"/>
    <col min="2" max="2" width="30.7109375" style="93" bestFit="1" customWidth="1"/>
    <col min="3" max="3" width="65.7109375" style="93" customWidth="1"/>
    <col min="4" max="4" width="88.85546875" style="93" customWidth="1"/>
    <col min="5" max="5" width="17.7109375" style="93" customWidth="1"/>
    <col min="6" max="6" width="17.140625" style="93" customWidth="1"/>
    <col min="7" max="7" width="25.5703125" style="93" customWidth="1"/>
    <col min="8" max="8" width="22.42578125" style="93" hidden="1" customWidth="1"/>
    <col min="9" max="16" width="30.7109375" style="93" hidden="1" customWidth="1"/>
    <col min="17" max="17" width="17.7109375" style="93" customWidth="1"/>
    <col min="18" max="18" width="18" style="93" customWidth="1"/>
    <col min="19" max="19" width="20.85546875" style="93" customWidth="1"/>
    <col min="20" max="20" width="22.42578125" style="93" customWidth="1"/>
    <col min="21" max="16384" width="30.7109375" style="93"/>
  </cols>
  <sheetData>
    <row r="1" spans="1:20" ht="39.950000000000003" customHeight="1" x14ac:dyDescent="0.3">
      <c r="A1" s="130" t="s">
        <v>359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s="1" customFormat="1" ht="39.950000000000003" customHeight="1" x14ac:dyDescent="0.25">
      <c r="A2" s="75" t="s">
        <v>205</v>
      </c>
      <c r="B2" s="75" t="s">
        <v>206</v>
      </c>
      <c r="C2" s="75" t="s">
        <v>10</v>
      </c>
      <c r="D2" s="75" t="s">
        <v>207</v>
      </c>
      <c r="E2" s="75" t="s">
        <v>970</v>
      </c>
      <c r="F2" s="75" t="s">
        <v>725</v>
      </c>
      <c r="G2" s="75" t="s">
        <v>724</v>
      </c>
      <c r="H2" s="75" t="s">
        <v>726</v>
      </c>
      <c r="I2" s="75" t="s">
        <v>208</v>
      </c>
      <c r="J2" s="75" t="s">
        <v>209</v>
      </c>
      <c r="K2" s="75" t="s">
        <v>210</v>
      </c>
      <c r="L2" s="75" t="s">
        <v>211</v>
      </c>
      <c r="M2" s="75" t="s">
        <v>212</v>
      </c>
      <c r="N2" s="75" t="s">
        <v>213</v>
      </c>
      <c r="O2" s="75" t="s">
        <v>214</v>
      </c>
      <c r="P2" s="75" t="s">
        <v>215</v>
      </c>
      <c r="Q2" s="75" t="s">
        <v>216</v>
      </c>
      <c r="R2" s="75" t="s">
        <v>371</v>
      </c>
      <c r="S2" s="75" t="s">
        <v>378</v>
      </c>
      <c r="T2" s="75" t="s">
        <v>379</v>
      </c>
    </row>
    <row r="3" spans="1:20" ht="39.950000000000003" customHeight="1" x14ac:dyDescent="0.2">
      <c r="A3" s="79" t="s">
        <v>15</v>
      </c>
      <c r="B3" s="80" t="s">
        <v>849</v>
      </c>
      <c r="C3" s="80" t="s">
        <v>17</v>
      </c>
      <c r="D3" s="81" t="s">
        <v>217</v>
      </c>
      <c r="E3" s="82">
        <f>COUNTIF(DEMANDANTES!$A$2:$A$184,A3)</f>
        <v>2</v>
      </c>
      <c r="F3" s="82">
        <f>COUNTIF('7- ALINHAMENTO ESTRATÉGIA TCE'!$A$3:$A$155,A3)</f>
        <v>3</v>
      </c>
      <c r="G3" s="82">
        <f>COUNTIF('6- ALINHAMENTO ESTRATÉGIA TI'!$A$3:$A$91,A3)</f>
        <v>1</v>
      </c>
      <c r="H3" s="82">
        <f>COUNTIF(MMD!$O$6:$O$54,A3)</f>
        <v>3</v>
      </c>
      <c r="I3" s="83">
        <v>100</v>
      </c>
      <c r="J3" s="83">
        <v>100</v>
      </c>
      <c r="K3" s="83">
        <v>100</v>
      </c>
      <c r="L3" s="83">
        <v>100</v>
      </c>
      <c r="M3" s="83">
        <v>75</v>
      </c>
      <c r="N3" s="219">
        <v>75</v>
      </c>
      <c r="O3" s="83">
        <v>50</v>
      </c>
      <c r="P3" s="83">
        <v>75</v>
      </c>
      <c r="Q3" s="83">
        <v>675</v>
      </c>
      <c r="R3" s="85">
        <f t="shared" ref="R3:R62" si="0">T3/S3</f>
        <v>0.75</v>
      </c>
      <c r="S3" s="86">
        <f>COUNTIF('3-Plano de Ações'!A$3:A$171,A3)</f>
        <v>4</v>
      </c>
      <c r="T3" s="86">
        <f>COUNTIFS('3-Plano de Ações'!A$3:A$171,A3,'3-Plano de Ações'!$R$3:$R$171,1)</f>
        <v>3</v>
      </c>
    </row>
    <row r="4" spans="1:20" ht="39.950000000000003" customHeight="1" x14ac:dyDescent="0.2">
      <c r="A4" s="79" t="s">
        <v>18</v>
      </c>
      <c r="B4" s="80" t="s">
        <v>849</v>
      </c>
      <c r="C4" s="80" t="s">
        <v>19</v>
      </c>
      <c r="D4" s="81" t="s">
        <v>218</v>
      </c>
      <c r="E4" s="82">
        <f>COUNTIF(DEMANDANTES!$A$2:$A$184,A4)</f>
        <v>1</v>
      </c>
      <c r="F4" s="82">
        <f>COUNTIF('7- ALINHAMENTO ESTRATÉGIA TCE'!$A$3:$A$155,A4)</f>
        <v>6</v>
      </c>
      <c r="G4" s="82">
        <f>COUNTIF('6- ALINHAMENTO ESTRATÉGIA TI'!$A$3:$A$91,A4)</f>
        <v>1</v>
      </c>
      <c r="H4" s="82">
        <f>COUNTIF(MMD!$O$6:$O$54,A4)</f>
        <v>2</v>
      </c>
      <c r="I4" s="83">
        <v>100</v>
      </c>
      <c r="J4" s="83">
        <v>100</v>
      </c>
      <c r="K4" s="83">
        <v>100</v>
      </c>
      <c r="L4" s="83">
        <v>100</v>
      </c>
      <c r="M4" s="83">
        <v>75</v>
      </c>
      <c r="N4" s="219">
        <v>75</v>
      </c>
      <c r="O4" s="83">
        <v>50</v>
      </c>
      <c r="P4" s="83">
        <v>75</v>
      </c>
      <c r="Q4" s="83">
        <v>675</v>
      </c>
      <c r="R4" s="85">
        <f t="shared" si="0"/>
        <v>1</v>
      </c>
      <c r="S4" s="86">
        <f>COUNTIF('3-Plano de Ações'!A$3:A$171,A4)</f>
        <v>3</v>
      </c>
      <c r="T4" s="86">
        <f>COUNTIFS('3-Plano de Ações'!A$3:A$171,A4,'3-Plano de Ações'!$R$3:$R$171,1)</f>
        <v>3</v>
      </c>
    </row>
    <row r="5" spans="1:20" ht="39.950000000000003" customHeight="1" x14ac:dyDescent="0.2">
      <c r="A5" s="79" t="s">
        <v>20</v>
      </c>
      <c r="B5" s="80" t="s">
        <v>850</v>
      </c>
      <c r="C5" s="80" t="s">
        <v>22</v>
      </c>
      <c r="D5" s="81" t="s">
        <v>219</v>
      </c>
      <c r="E5" s="82">
        <f>COUNTIF(DEMANDANTES!$A$2:$A$184,A5)</f>
        <v>1</v>
      </c>
      <c r="F5" s="82">
        <f>COUNTIF('7- ALINHAMENTO ESTRATÉGIA TCE'!$A$3:$A$155,A5)</f>
        <v>2</v>
      </c>
      <c r="G5" s="82">
        <f>COUNTIF('6- ALINHAMENTO ESTRATÉGIA TI'!$A$3:$A$91,A5)</f>
        <v>1</v>
      </c>
      <c r="H5" s="82">
        <f>COUNTIF(MMD!$O$6:$O$54,A5)</f>
        <v>0</v>
      </c>
      <c r="I5" s="83">
        <v>50</v>
      </c>
      <c r="J5" s="83">
        <v>100</v>
      </c>
      <c r="K5" s="83">
        <v>100</v>
      </c>
      <c r="L5" s="83">
        <v>100</v>
      </c>
      <c r="M5" s="83">
        <v>75</v>
      </c>
      <c r="N5" s="219">
        <v>75</v>
      </c>
      <c r="O5" s="83">
        <v>75</v>
      </c>
      <c r="P5" s="83">
        <v>75</v>
      </c>
      <c r="Q5" s="83">
        <v>650</v>
      </c>
      <c r="R5" s="85">
        <f t="shared" si="0"/>
        <v>1</v>
      </c>
      <c r="S5" s="86">
        <f>COUNTIF('3-Plano de Ações'!A$3:A$171,A5)</f>
        <v>3</v>
      </c>
      <c r="T5" s="86">
        <f>COUNTIFS('3-Plano de Ações'!A$3:A$171,A5,'3-Plano de Ações'!$R$3:$R$171,1)</f>
        <v>3</v>
      </c>
    </row>
    <row r="6" spans="1:20" ht="39.950000000000003" customHeight="1" x14ac:dyDescent="0.2">
      <c r="A6" s="79" t="s">
        <v>23</v>
      </c>
      <c r="B6" s="80" t="s">
        <v>849</v>
      </c>
      <c r="C6" s="80" t="s">
        <v>24</v>
      </c>
      <c r="D6" s="81" t="s">
        <v>221</v>
      </c>
      <c r="E6" s="82">
        <f>COUNTIF(DEMANDANTES!$A$2:$A$184,A6)</f>
        <v>3</v>
      </c>
      <c r="F6" s="82">
        <f>COUNTIF('7- ALINHAMENTO ESTRATÉGIA TCE'!$A$3:$A$155,A6)</f>
        <v>2</v>
      </c>
      <c r="G6" s="82">
        <f>COUNTIF('6- ALINHAMENTO ESTRATÉGIA TI'!$A$3:$A$91,A6)</f>
        <v>2</v>
      </c>
      <c r="H6" s="82">
        <f>COUNTIF(MMD!$O$6:$O$54,A6)</f>
        <v>1</v>
      </c>
      <c r="I6" s="83">
        <v>100</v>
      </c>
      <c r="J6" s="83">
        <v>100</v>
      </c>
      <c r="K6" s="83">
        <v>100</v>
      </c>
      <c r="L6" s="83">
        <v>100</v>
      </c>
      <c r="M6" s="83">
        <v>75</v>
      </c>
      <c r="N6" s="219">
        <v>50</v>
      </c>
      <c r="O6" s="83">
        <v>50</v>
      </c>
      <c r="P6" s="83">
        <v>75</v>
      </c>
      <c r="Q6" s="83">
        <v>650</v>
      </c>
      <c r="R6" s="85">
        <f t="shared" si="0"/>
        <v>1</v>
      </c>
      <c r="S6" s="86">
        <f>COUNTIF('3-Plano de Ações'!A$3:A$171,A6)</f>
        <v>2</v>
      </c>
      <c r="T6" s="86">
        <f>COUNTIFS('3-Plano de Ações'!A$3:A$171,A6,'3-Plano de Ações'!$R$3:$R$171,1)</f>
        <v>2</v>
      </c>
    </row>
    <row r="7" spans="1:20" ht="39.950000000000003" customHeight="1" x14ac:dyDescent="0.2">
      <c r="A7" s="79" t="s">
        <v>25</v>
      </c>
      <c r="B7" s="80" t="s">
        <v>849</v>
      </c>
      <c r="C7" s="80" t="s">
        <v>26</v>
      </c>
      <c r="D7" s="81" t="s">
        <v>222</v>
      </c>
      <c r="E7" s="82">
        <f>COUNTIF(DEMANDANTES!$A$2:$A$184,A7)</f>
        <v>1</v>
      </c>
      <c r="F7" s="82">
        <f>COUNTIF('7- ALINHAMENTO ESTRATÉGIA TCE'!$A$3:$A$155,A7)</f>
        <v>2</v>
      </c>
      <c r="G7" s="82">
        <f>COUNTIF('6- ALINHAMENTO ESTRATÉGIA TI'!$A$3:$A$91,A7)</f>
        <v>1</v>
      </c>
      <c r="H7" s="82">
        <f>COUNTIF(MMD!$O$6:$O$54,A7)</f>
        <v>0</v>
      </c>
      <c r="I7" s="83">
        <v>100</v>
      </c>
      <c r="J7" s="83">
        <v>100</v>
      </c>
      <c r="K7" s="83">
        <v>100</v>
      </c>
      <c r="L7" s="83">
        <v>100</v>
      </c>
      <c r="M7" s="83">
        <v>75</v>
      </c>
      <c r="N7" s="219">
        <v>50</v>
      </c>
      <c r="O7" s="83">
        <v>50</v>
      </c>
      <c r="P7" s="83">
        <v>75</v>
      </c>
      <c r="Q7" s="83">
        <v>650</v>
      </c>
      <c r="R7" s="85">
        <f t="shared" si="0"/>
        <v>0</v>
      </c>
      <c r="S7" s="86">
        <f>COUNTIF('3-Plano de Ações'!A$3:A$171,A7)</f>
        <v>1</v>
      </c>
      <c r="T7" s="86">
        <f>COUNTIFS('3-Plano de Ações'!A$3:A$171,A7,'3-Plano de Ações'!$R$3:$R$171,1)</f>
        <v>0</v>
      </c>
    </row>
    <row r="8" spans="1:20" ht="39.950000000000003" customHeight="1" x14ac:dyDescent="0.2">
      <c r="A8" s="79" t="s">
        <v>28</v>
      </c>
      <c r="B8" s="80" t="s">
        <v>849</v>
      </c>
      <c r="C8" s="80" t="s">
        <v>29</v>
      </c>
      <c r="D8" s="81" t="s">
        <v>224</v>
      </c>
      <c r="E8" s="82">
        <f>COUNTIF(DEMANDANTES!$A$2:$A$184,A8)</f>
        <v>2</v>
      </c>
      <c r="F8" s="82">
        <f>COUNTIF('7- ALINHAMENTO ESTRATÉGIA TCE'!$A$3:$A$155,A8)</f>
        <v>2</v>
      </c>
      <c r="G8" s="82">
        <f>COUNTIF('6- ALINHAMENTO ESTRATÉGIA TI'!$A$3:$A$91,A8)</f>
        <v>1</v>
      </c>
      <c r="H8" s="82">
        <f>COUNTIF(MMD!$O$6:$O$54,A8)</f>
        <v>3</v>
      </c>
      <c r="I8" s="83">
        <v>100</v>
      </c>
      <c r="J8" s="83">
        <v>100</v>
      </c>
      <c r="K8" s="83">
        <v>100</v>
      </c>
      <c r="L8" s="83">
        <v>50</v>
      </c>
      <c r="M8" s="83">
        <v>75</v>
      </c>
      <c r="N8" s="84">
        <v>75</v>
      </c>
      <c r="O8" s="83">
        <v>50</v>
      </c>
      <c r="P8" s="83">
        <v>75</v>
      </c>
      <c r="Q8" s="83">
        <v>625</v>
      </c>
      <c r="R8" s="85">
        <f t="shared" si="0"/>
        <v>0.5</v>
      </c>
      <c r="S8" s="86">
        <f>COUNTIF('3-Plano de Ações'!A$3:A$171,A8)</f>
        <v>2</v>
      </c>
      <c r="T8" s="86">
        <f>COUNTIFS('3-Plano de Ações'!A$3:A$171,A8,'3-Plano de Ações'!$R$3:$R$171,1)</f>
        <v>1</v>
      </c>
    </row>
    <row r="9" spans="1:20" ht="39.950000000000003" customHeight="1" x14ac:dyDescent="0.2">
      <c r="A9" s="79" t="s">
        <v>30</v>
      </c>
      <c r="B9" s="80" t="s">
        <v>849</v>
      </c>
      <c r="C9" s="80" t="s">
        <v>31</v>
      </c>
      <c r="D9" s="81" t="s">
        <v>226</v>
      </c>
      <c r="E9" s="82">
        <f>COUNTIF(DEMANDANTES!$A$2:$A$184,A9)</f>
        <v>6</v>
      </c>
      <c r="F9" s="82">
        <f>COUNTIF('7- ALINHAMENTO ESTRATÉGIA TCE'!$A$3:$A$155,A9)</f>
        <v>4</v>
      </c>
      <c r="G9" s="82">
        <f>COUNTIF('6- ALINHAMENTO ESTRATÉGIA TI'!$A$3:$A$91,A9)</f>
        <v>1</v>
      </c>
      <c r="H9" s="82">
        <f>COUNTIF(MMD!$O$6:$O$54,A9)</f>
        <v>5</v>
      </c>
      <c r="I9" s="83">
        <v>100</v>
      </c>
      <c r="J9" s="83">
        <v>100</v>
      </c>
      <c r="K9" s="83">
        <v>100</v>
      </c>
      <c r="L9" s="83">
        <v>50</v>
      </c>
      <c r="M9" s="83">
        <v>75</v>
      </c>
      <c r="N9" s="84">
        <v>75</v>
      </c>
      <c r="O9" s="83">
        <v>50</v>
      </c>
      <c r="P9" s="83">
        <v>75</v>
      </c>
      <c r="Q9" s="83">
        <v>625</v>
      </c>
      <c r="R9" s="85">
        <f t="shared" si="0"/>
        <v>0.5</v>
      </c>
      <c r="S9" s="86">
        <f>COUNTIF('3-Plano de Ações'!A$3:A$171,A9)</f>
        <v>2</v>
      </c>
      <c r="T9" s="86">
        <f>COUNTIFS('3-Plano de Ações'!A$3:A$171,A9,'3-Plano de Ações'!$R$3:$R$171,1)</f>
        <v>1</v>
      </c>
    </row>
    <row r="10" spans="1:20" ht="39.950000000000003" customHeight="1" x14ac:dyDescent="0.2">
      <c r="A10" s="79" t="s">
        <v>32</v>
      </c>
      <c r="B10" s="80" t="s">
        <v>851</v>
      </c>
      <c r="C10" s="80" t="s">
        <v>961</v>
      </c>
      <c r="D10" s="81" t="s">
        <v>227</v>
      </c>
      <c r="E10" s="82">
        <f>COUNTIF(DEMANDANTES!$A$2:$A$184,A10)</f>
        <v>10</v>
      </c>
      <c r="F10" s="82">
        <f>COUNTIF('7- ALINHAMENTO ESTRATÉGIA TCE'!$A$3:$A$155,A10)</f>
        <v>2</v>
      </c>
      <c r="G10" s="82">
        <f>COUNTIF('6- ALINHAMENTO ESTRATÉGIA TI'!$A$3:$A$91,A10)</f>
        <v>4</v>
      </c>
      <c r="H10" s="82">
        <f>COUNTIF(MMD!$O$6:$O$54,A10)</f>
        <v>0</v>
      </c>
      <c r="I10" s="83">
        <v>50</v>
      </c>
      <c r="J10" s="83">
        <v>50</v>
      </c>
      <c r="K10" s="83">
        <v>100</v>
      </c>
      <c r="L10" s="83">
        <v>100</v>
      </c>
      <c r="M10" s="83">
        <v>75</v>
      </c>
      <c r="N10" s="84">
        <v>75</v>
      </c>
      <c r="O10" s="83">
        <v>75</v>
      </c>
      <c r="P10" s="83">
        <v>75</v>
      </c>
      <c r="Q10" s="83">
        <v>600</v>
      </c>
      <c r="R10" s="85">
        <f t="shared" si="0"/>
        <v>0.8571428571428571</v>
      </c>
      <c r="S10" s="86">
        <f>COUNTIF('3-Plano de Ações'!A$3:A$171,A10)</f>
        <v>14</v>
      </c>
      <c r="T10" s="86">
        <f>COUNTIFS('3-Plano de Ações'!A$3:A$171,A10,'3-Plano de Ações'!$R$3:$R$171,1)</f>
        <v>12</v>
      </c>
    </row>
    <row r="11" spans="1:20" ht="39.950000000000003" customHeight="1" x14ac:dyDescent="0.2">
      <c r="A11" s="79" t="s">
        <v>45</v>
      </c>
      <c r="B11" s="80" t="s">
        <v>849</v>
      </c>
      <c r="C11" s="80" t="s">
        <v>46</v>
      </c>
      <c r="D11" s="81" t="s">
        <v>228</v>
      </c>
      <c r="E11" s="82">
        <f>COUNTIF(DEMANDANTES!$A$2:$A$184,A11)</f>
        <v>11</v>
      </c>
      <c r="F11" s="82">
        <f>COUNTIF('7- ALINHAMENTO ESTRATÉGIA TCE'!$A$3:$A$155,A11)</f>
        <v>3</v>
      </c>
      <c r="G11" s="82">
        <f>COUNTIF('6- ALINHAMENTO ESTRATÉGIA TI'!$A$3:$A$91,A11)</f>
        <v>3</v>
      </c>
      <c r="H11" s="82">
        <f>COUNTIF(MMD!$O$6:$O$54,A11)</f>
        <v>4</v>
      </c>
      <c r="I11" s="83">
        <v>100</v>
      </c>
      <c r="J11" s="83">
        <v>100</v>
      </c>
      <c r="K11" s="83">
        <v>100</v>
      </c>
      <c r="L11" s="83">
        <v>25</v>
      </c>
      <c r="M11" s="83">
        <v>75</v>
      </c>
      <c r="N11" s="84">
        <v>75</v>
      </c>
      <c r="O11" s="83">
        <v>50</v>
      </c>
      <c r="P11" s="83">
        <v>75</v>
      </c>
      <c r="Q11" s="83">
        <v>600</v>
      </c>
      <c r="R11" s="85">
        <f t="shared" si="0"/>
        <v>1</v>
      </c>
      <c r="S11" s="86">
        <f>COUNTIF('3-Plano de Ações'!A$3:A$171,A11)</f>
        <v>2</v>
      </c>
      <c r="T11" s="86">
        <f>COUNTIFS('3-Plano de Ações'!A$3:A$171,A11,'3-Plano de Ações'!$R$3:$R$171,1)</f>
        <v>2</v>
      </c>
    </row>
    <row r="12" spans="1:20" ht="39.950000000000003" customHeight="1" x14ac:dyDescent="0.2">
      <c r="A12" s="79" t="s">
        <v>47</v>
      </c>
      <c r="B12" s="80" t="s">
        <v>852</v>
      </c>
      <c r="C12" s="80" t="s">
        <v>387</v>
      </c>
      <c r="D12" s="81" t="s">
        <v>229</v>
      </c>
      <c r="E12" s="82">
        <f>COUNTIF(DEMANDANTES!$A$2:$A$184,A12)</f>
        <v>2</v>
      </c>
      <c r="F12" s="82">
        <f>COUNTIF('7- ALINHAMENTO ESTRATÉGIA TCE'!$A$3:$A$155,A12)</f>
        <v>6</v>
      </c>
      <c r="G12" s="82">
        <f>COUNTIF('6- ALINHAMENTO ESTRATÉGIA TI'!$A$3:$A$91,A12)</f>
        <v>2</v>
      </c>
      <c r="H12" s="82">
        <f>COUNTIF(MMD!$O$6:$O$54,A12)</f>
        <v>2</v>
      </c>
      <c r="I12" s="83">
        <v>50</v>
      </c>
      <c r="J12" s="83">
        <v>50</v>
      </c>
      <c r="K12" s="83">
        <v>100</v>
      </c>
      <c r="L12" s="83">
        <v>100</v>
      </c>
      <c r="M12" s="83">
        <v>75</v>
      </c>
      <c r="N12" s="84">
        <v>75</v>
      </c>
      <c r="O12" s="83">
        <v>50</v>
      </c>
      <c r="P12" s="83">
        <v>75</v>
      </c>
      <c r="Q12" s="83">
        <v>575</v>
      </c>
      <c r="R12" s="85">
        <f t="shared" si="0"/>
        <v>1</v>
      </c>
      <c r="S12" s="86">
        <f>COUNTIF('3-Plano de Ações'!A$3:A$171,A12)</f>
        <v>3</v>
      </c>
      <c r="T12" s="86">
        <f>COUNTIFS('3-Plano de Ações'!A$3:A$171,A12,'3-Plano de Ações'!$R$3:$R$171,1)</f>
        <v>3</v>
      </c>
    </row>
    <row r="13" spans="1:20" ht="39.950000000000003" customHeight="1" x14ac:dyDescent="0.2">
      <c r="A13" s="79" t="s">
        <v>50</v>
      </c>
      <c r="B13" s="80" t="s">
        <v>852</v>
      </c>
      <c r="C13" s="80" t="s">
        <v>51</v>
      </c>
      <c r="D13" s="81" t="s">
        <v>230</v>
      </c>
      <c r="E13" s="82">
        <f>COUNTIF(DEMANDANTES!$A$2:$A$184,A13)</f>
        <v>1</v>
      </c>
      <c r="F13" s="82">
        <f>COUNTIF('7- ALINHAMENTO ESTRATÉGIA TCE'!$A$3:$A$155,A13)</f>
        <v>3</v>
      </c>
      <c r="G13" s="82">
        <f>COUNTIF('6- ALINHAMENTO ESTRATÉGIA TI'!$A$3:$A$91,A13)</f>
        <v>2</v>
      </c>
      <c r="H13" s="82">
        <f>COUNTIF(MMD!$O$6:$O$54,A13)</f>
        <v>0</v>
      </c>
      <c r="I13" s="83">
        <v>50</v>
      </c>
      <c r="J13" s="83">
        <v>25</v>
      </c>
      <c r="K13" s="83">
        <v>100</v>
      </c>
      <c r="L13" s="83">
        <v>100</v>
      </c>
      <c r="M13" s="83">
        <v>75</v>
      </c>
      <c r="N13" s="84">
        <v>75</v>
      </c>
      <c r="O13" s="83">
        <v>75</v>
      </c>
      <c r="P13" s="83">
        <v>75</v>
      </c>
      <c r="Q13" s="83">
        <v>575</v>
      </c>
      <c r="R13" s="85">
        <f t="shared" si="0"/>
        <v>0.66666666666666663</v>
      </c>
      <c r="S13" s="86">
        <f>COUNTIF('3-Plano de Ações'!A$3:A$171,A13)</f>
        <v>3</v>
      </c>
      <c r="T13" s="86">
        <f>COUNTIFS('3-Plano de Ações'!A$3:A$171,A13,'3-Plano de Ações'!$R$3:$R$171,1)</f>
        <v>2</v>
      </c>
    </row>
    <row r="14" spans="1:20" ht="39.950000000000003" customHeight="1" x14ac:dyDescent="0.2">
      <c r="A14" s="79" t="s">
        <v>54</v>
      </c>
      <c r="B14" s="80" t="s">
        <v>853</v>
      </c>
      <c r="C14" s="80" t="s">
        <v>56</v>
      </c>
      <c r="D14" s="81" t="s">
        <v>231</v>
      </c>
      <c r="E14" s="82">
        <f>COUNTIF(DEMANDANTES!$A$2:$A$184,A14)</f>
        <v>1</v>
      </c>
      <c r="F14" s="82">
        <f>COUNTIF('7- ALINHAMENTO ESTRATÉGIA TCE'!$A$3:$A$155,A14)</f>
        <v>1</v>
      </c>
      <c r="G14" s="82">
        <f>COUNTIF('6- ALINHAMENTO ESTRATÉGIA TI'!$A$3:$A$91,A14)</f>
        <v>1</v>
      </c>
      <c r="H14" s="82">
        <f>COUNTIF(MMD!$O$6:$O$54,A14)</f>
        <v>0</v>
      </c>
      <c r="I14" s="83">
        <v>100</v>
      </c>
      <c r="J14" s="83">
        <v>25</v>
      </c>
      <c r="K14" s="83">
        <v>100</v>
      </c>
      <c r="L14" s="83">
        <v>100</v>
      </c>
      <c r="M14" s="83">
        <v>75</v>
      </c>
      <c r="N14" s="84">
        <v>50</v>
      </c>
      <c r="O14" s="83">
        <v>50</v>
      </c>
      <c r="P14" s="83">
        <v>75</v>
      </c>
      <c r="Q14" s="83">
        <v>575</v>
      </c>
      <c r="R14" s="85">
        <f t="shared" si="0"/>
        <v>0.5</v>
      </c>
      <c r="S14" s="86">
        <f>COUNTIF('3-Plano de Ações'!A$3:A$171,A14)</f>
        <v>2</v>
      </c>
      <c r="T14" s="86">
        <f>COUNTIFS('3-Plano de Ações'!A$3:A$171,A14,'3-Plano de Ações'!$R$3:$R$171,1)</f>
        <v>1</v>
      </c>
    </row>
    <row r="15" spans="1:20" ht="39.950000000000003" customHeight="1" x14ac:dyDescent="0.2">
      <c r="A15" s="79" t="s">
        <v>57</v>
      </c>
      <c r="B15" s="80" t="s">
        <v>849</v>
      </c>
      <c r="C15" s="80" t="s">
        <v>58</v>
      </c>
      <c r="D15" s="81" t="s">
        <v>233</v>
      </c>
      <c r="E15" s="82">
        <f>COUNTIF(DEMANDANTES!$A$2:$A$184,A15)</f>
        <v>11</v>
      </c>
      <c r="F15" s="82">
        <f>COUNTIF('7- ALINHAMENTO ESTRATÉGIA TCE'!$A$3:$A$155,A15)</f>
        <v>1</v>
      </c>
      <c r="G15" s="82">
        <f>COUNTIF('6- ALINHAMENTO ESTRATÉGIA TI'!$A$3:$A$91,A15)</f>
        <v>2</v>
      </c>
      <c r="H15" s="82">
        <f>COUNTIF(MMD!$O$6:$O$54,A15)</f>
        <v>1</v>
      </c>
      <c r="I15" s="83">
        <v>100</v>
      </c>
      <c r="J15" s="83">
        <v>100</v>
      </c>
      <c r="K15" s="83">
        <v>100</v>
      </c>
      <c r="L15" s="83">
        <v>25</v>
      </c>
      <c r="M15" s="83">
        <v>75</v>
      </c>
      <c r="N15" s="84">
        <v>50</v>
      </c>
      <c r="O15" s="83">
        <v>50</v>
      </c>
      <c r="P15" s="83">
        <v>75</v>
      </c>
      <c r="Q15" s="83">
        <v>575</v>
      </c>
      <c r="R15" s="85">
        <f t="shared" si="0"/>
        <v>1</v>
      </c>
      <c r="S15" s="86">
        <f>COUNTIF('3-Plano de Ações'!A$3:A$171,A15)</f>
        <v>4</v>
      </c>
      <c r="T15" s="86">
        <f>COUNTIFS('3-Plano de Ações'!A$3:A$171,A15,'3-Plano de Ações'!$R$3:$R$171,1)</f>
        <v>4</v>
      </c>
    </row>
    <row r="16" spans="1:20" ht="39.950000000000003" customHeight="1" x14ac:dyDescent="0.2">
      <c r="A16" s="79" t="s">
        <v>60</v>
      </c>
      <c r="B16" s="80" t="s">
        <v>852</v>
      </c>
      <c r="C16" s="80" t="s">
        <v>61</v>
      </c>
      <c r="D16" s="81" t="s">
        <v>235</v>
      </c>
      <c r="E16" s="82">
        <f>COUNTIF(DEMANDANTES!$A$2:$A$184,A16)</f>
        <v>1</v>
      </c>
      <c r="F16" s="82">
        <f>COUNTIF('7- ALINHAMENTO ESTRATÉGIA TCE'!$A$3:$A$155,A16)</f>
        <v>8</v>
      </c>
      <c r="G16" s="82">
        <f>COUNTIF('6- ALINHAMENTO ESTRATÉGIA TI'!$A$3:$A$91,A16)</f>
        <v>2</v>
      </c>
      <c r="H16" s="82">
        <f>COUNTIF(MMD!$O$6:$O$54,A16)</f>
        <v>0</v>
      </c>
      <c r="I16" s="83">
        <v>50</v>
      </c>
      <c r="J16" s="83">
        <v>50</v>
      </c>
      <c r="K16" s="83">
        <v>100</v>
      </c>
      <c r="L16" s="83">
        <v>100</v>
      </c>
      <c r="M16" s="83">
        <v>75</v>
      </c>
      <c r="N16" s="84">
        <v>50</v>
      </c>
      <c r="O16" s="83">
        <v>50</v>
      </c>
      <c r="P16" s="83">
        <v>75</v>
      </c>
      <c r="Q16" s="83">
        <v>550</v>
      </c>
      <c r="R16" s="85">
        <f t="shared" si="0"/>
        <v>0</v>
      </c>
      <c r="S16" s="86">
        <f>COUNTIF('3-Plano de Ações'!A$3:A$171,A16)</f>
        <v>3</v>
      </c>
      <c r="T16" s="86">
        <f>COUNTIFS('3-Plano de Ações'!A$3:A$171,A16,'3-Plano de Ações'!$R$3:$R$171,1)</f>
        <v>0</v>
      </c>
    </row>
    <row r="17" spans="1:20" ht="39.950000000000003" customHeight="1" x14ac:dyDescent="0.2">
      <c r="A17" s="79" t="s">
        <v>65</v>
      </c>
      <c r="B17" s="80" t="s">
        <v>849</v>
      </c>
      <c r="C17" s="80" t="s">
        <v>66</v>
      </c>
      <c r="D17" s="81" t="s">
        <v>236</v>
      </c>
      <c r="E17" s="82">
        <f>COUNTIF(DEMANDANTES!$A$2:$A$184,A17)</f>
        <v>3</v>
      </c>
      <c r="F17" s="82">
        <f>COUNTIF('7- ALINHAMENTO ESTRATÉGIA TCE'!$A$3:$A$155,A17)</f>
        <v>3</v>
      </c>
      <c r="G17" s="82">
        <f>COUNTIF('6- ALINHAMENTO ESTRATÉGIA TI'!$A$3:$A$91,A17)</f>
        <v>1</v>
      </c>
      <c r="H17" s="82">
        <f>COUNTIF(MMD!$O$6:$O$54,A17)</f>
        <v>2</v>
      </c>
      <c r="I17" s="83">
        <v>100</v>
      </c>
      <c r="J17" s="83">
        <v>100</v>
      </c>
      <c r="K17" s="83">
        <v>100</v>
      </c>
      <c r="L17" s="83">
        <v>50</v>
      </c>
      <c r="M17" s="83">
        <v>25</v>
      </c>
      <c r="N17" s="84">
        <v>50</v>
      </c>
      <c r="O17" s="83">
        <v>50</v>
      </c>
      <c r="P17" s="83">
        <v>75</v>
      </c>
      <c r="Q17" s="83">
        <v>550</v>
      </c>
      <c r="R17" s="85">
        <f t="shared" si="0"/>
        <v>0.66666666666666663</v>
      </c>
      <c r="S17" s="86">
        <f>COUNTIF('3-Plano de Ações'!A$3:A$171,A17)</f>
        <v>3</v>
      </c>
      <c r="T17" s="86">
        <f>COUNTIFS('3-Plano de Ações'!A$3:A$171,A17,'3-Plano de Ações'!$R$3:$R$171,1)</f>
        <v>2</v>
      </c>
    </row>
    <row r="18" spans="1:20" ht="39.950000000000003" customHeight="1" x14ac:dyDescent="0.2">
      <c r="A18" s="79" t="s">
        <v>68</v>
      </c>
      <c r="B18" s="80" t="s">
        <v>852</v>
      </c>
      <c r="C18" s="80" t="s">
        <v>962</v>
      </c>
      <c r="D18" s="81" t="s">
        <v>958</v>
      </c>
      <c r="E18" s="82">
        <f>COUNTIF(DEMANDANTES!$A$2:$A$184,A18)</f>
        <v>2</v>
      </c>
      <c r="F18" s="82">
        <f>COUNTIF('7- ALINHAMENTO ESTRATÉGIA TCE'!$A$3:$A$155,A18)</f>
        <v>4</v>
      </c>
      <c r="G18" s="82">
        <f>COUNTIF('6- ALINHAMENTO ESTRATÉGIA TI'!$A$3:$A$91,A18)</f>
        <v>1</v>
      </c>
      <c r="H18" s="82">
        <f>COUNTIF(MMD!$O$6:$O$54,A18)</f>
        <v>0</v>
      </c>
      <c r="I18" s="83">
        <v>50</v>
      </c>
      <c r="J18" s="83">
        <v>50</v>
      </c>
      <c r="K18" s="83">
        <v>100</v>
      </c>
      <c r="L18" s="83">
        <v>50</v>
      </c>
      <c r="M18" s="83">
        <v>75</v>
      </c>
      <c r="N18" s="84">
        <v>75</v>
      </c>
      <c r="O18" s="83">
        <v>75</v>
      </c>
      <c r="P18" s="83">
        <v>75</v>
      </c>
      <c r="Q18" s="83">
        <v>550</v>
      </c>
      <c r="R18" s="85">
        <f t="shared" si="0"/>
        <v>1</v>
      </c>
      <c r="S18" s="86">
        <f>COUNTIF('3-Plano de Ações'!A$3:A$171,A18)</f>
        <v>2</v>
      </c>
      <c r="T18" s="86">
        <f>COUNTIFS('3-Plano de Ações'!A$3:A$171,A18,'3-Plano de Ações'!$R$3:$R$171,1)</f>
        <v>2</v>
      </c>
    </row>
    <row r="19" spans="1:20" ht="39.950000000000003" customHeight="1" x14ac:dyDescent="0.2">
      <c r="A19" s="79" t="s">
        <v>5</v>
      </c>
      <c r="B19" s="80" t="s">
        <v>851</v>
      </c>
      <c r="C19" s="80" t="s">
        <v>71</v>
      </c>
      <c r="D19" s="81" t="s">
        <v>237</v>
      </c>
      <c r="E19" s="82">
        <f>COUNTIF(DEMANDANTES!$A$2:$A$184,A19)</f>
        <v>7</v>
      </c>
      <c r="F19" s="82">
        <f>COUNTIF('7- ALINHAMENTO ESTRATÉGIA TCE'!$A$3:$A$155,A19)</f>
        <v>5</v>
      </c>
      <c r="G19" s="82">
        <f>COUNTIF('6- ALINHAMENTO ESTRATÉGIA TI'!$A$3:$A$91,A19)</f>
        <v>3</v>
      </c>
      <c r="H19" s="82">
        <f>COUNTIF(MMD!$O$6:$O$54,A19)</f>
        <v>0</v>
      </c>
      <c r="I19" s="83">
        <v>50</v>
      </c>
      <c r="J19" s="83">
        <v>50</v>
      </c>
      <c r="K19" s="83">
        <v>100</v>
      </c>
      <c r="L19" s="83">
        <v>50</v>
      </c>
      <c r="M19" s="83">
        <v>75</v>
      </c>
      <c r="N19" s="84">
        <v>75</v>
      </c>
      <c r="O19" s="83">
        <v>75</v>
      </c>
      <c r="P19" s="83">
        <v>75</v>
      </c>
      <c r="Q19" s="83">
        <v>550</v>
      </c>
      <c r="R19" s="85">
        <f t="shared" si="0"/>
        <v>0.75</v>
      </c>
      <c r="S19" s="86">
        <f>COUNTIF('3-Plano de Ações'!A$3:A$171,A19)</f>
        <v>4</v>
      </c>
      <c r="T19" s="86">
        <f>COUNTIFS('3-Plano de Ações'!A$3:A$171,A19,'3-Plano de Ações'!$R$3:$R$171,1)</f>
        <v>3</v>
      </c>
    </row>
    <row r="20" spans="1:20" ht="39.950000000000003" customHeight="1" x14ac:dyDescent="0.2">
      <c r="A20" s="79" t="s">
        <v>80</v>
      </c>
      <c r="B20" s="80" t="s">
        <v>850</v>
      </c>
      <c r="C20" s="80" t="s">
        <v>81</v>
      </c>
      <c r="D20" s="81" t="s">
        <v>238</v>
      </c>
      <c r="E20" s="82">
        <f>COUNTIF(DEMANDANTES!$A$2:$A$184,A20)</f>
        <v>12</v>
      </c>
      <c r="F20" s="82">
        <f>COUNTIF('7- ALINHAMENTO ESTRATÉGIA TCE'!$A$3:$A$155,A20)</f>
        <v>1</v>
      </c>
      <c r="G20" s="82">
        <f>COUNTIF('6- ALINHAMENTO ESTRATÉGIA TI'!$A$3:$A$91,A20)</f>
        <v>2</v>
      </c>
      <c r="H20" s="82">
        <f>COUNTIF(MMD!$O$6:$O$54,A20)</f>
        <v>0</v>
      </c>
      <c r="I20" s="83">
        <v>100</v>
      </c>
      <c r="J20" s="83">
        <v>50</v>
      </c>
      <c r="K20" s="83">
        <v>100</v>
      </c>
      <c r="L20" s="83">
        <v>50</v>
      </c>
      <c r="M20" s="83">
        <v>75</v>
      </c>
      <c r="N20" s="84">
        <v>25</v>
      </c>
      <c r="O20" s="83">
        <v>75</v>
      </c>
      <c r="P20" s="83">
        <v>75</v>
      </c>
      <c r="Q20" s="83">
        <v>550</v>
      </c>
      <c r="R20" s="85">
        <f t="shared" si="0"/>
        <v>0</v>
      </c>
      <c r="S20" s="86">
        <f>COUNTIF('3-Plano de Ações'!A$3:A$171,A20)</f>
        <v>1</v>
      </c>
      <c r="T20" s="86">
        <f>COUNTIFS('3-Plano de Ações'!A$3:A$171,A20,'3-Plano de Ações'!$R$3:$R$171,1)</f>
        <v>0</v>
      </c>
    </row>
    <row r="21" spans="1:20" ht="39.950000000000003" customHeight="1" x14ac:dyDescent="0.2">
      <c r="A21" s="79" t="s">
        <v>83</v>
      </c>
      <c r="B21" s="80" t="s">
        <v>852</v>
      </c>
      <c r="C21" s="80" t="s">
        <v>84</v>
      </c>
      <c r="D21" s="81" t="s">
        <v>240</v>
      </c>
      <c r="E21" s="82">
        <f>COUNTIF(DEMANDANTES!$A$2:$A$184,A21)</f>
        <v>2</v>
      </c>
      <c r="F21" s="82">
        <f>COUNTIF('7- ALINHAMENTO ESTRATÉGIA TCE'!$A$3:$A$155,A21)</f>
        <v>6</v>
      </c>
      <c r="G21" s="82">
        <f>COUNTIF('6- ALINHAMENTO ESTRATÉGIA TI'!$A$3:$A$91,A21)</f>
        <v>2</v>
      </c>
      <c r="H21" s="82">
        <f>COUNTIF(MMD!$O$6:$O$54,A21)</f>
        <v>6</v>
      </c>
      <c r="I21" s="83">
        <v>50</v>
      </c>
      <c r="J21" s="83">
        <v>50</v>
      </c>
      <c r="K21" s="83">
        <v>100</v>
      </c>
      <c r="L21" s="83">
        <v>100</v>
      </c>
      <c r="M21" s="83">
        <v>75</v>
      </c>
      <c r="N21" s="84">
        <v>50</v>
      </c>
      <c r="O21" s="83">
        <v>25</v>
      </c>
      <c r="P21" s="83">
        <v>75</v>
      </c>
      <c r="Q21" s="83">
        <v>525</v>
      </c>
      <c r="R21" s="85">
        <f t="shared" si="0"/>
        <v>0.2857142857142857</v>
      </c>
      <c r="S21" s="86">
        <f>COUNTIF('3-Plano de Ações'!A$3:A$171,A21)</f>
        <v>7</v>
      </c>
      <c r="T21" s="86">
        <f>COUNTIFS('3-Plano de Ações'!A$3:A$171,A21,'3-Plano de Ações'!$R$3:$R$171,1)</f>
        <v>2</v>
      </c>
    </row>
    <row r="22" spans="1:20" ht="39.950000000000003" customHeight="1" x14ac:dyDescent="0.2">
      <c r="A22" s="79" t="s">
        <v>7</v>
      </c>
      <c r="B22" s="80" t="s">
        <v>853</v>
      </c>
      <c r="C22" s="80" t="s">
        <v>90</v>
      </c>
      <c r="D22" s="81" t="s">
        <v>241</v>
      </c>
      <c r="E22" s="82">
        <f>COUNTIF(DEMANDANTES!$A$2:$A$184,A22)</f>
        <v>1</v>
      </c>
      <c r="F22" s="82">
        <f>COUNTIF('7- ALINHAMENTO ESTRATÉGIA TCE'!$A$3:$A$155,A22)</f>
        <v>1</v>
      </c>
      <c r="G22" s="82">
        <f>COUNTIF('6- ALINHAMENTO ESTRATÉGIA TI'!$A$3:$A$91,A22)</f>
        <v>1</v>
      </c>
      <c r="H22" s="82">
        <f>COUNTIF(MMD!$O$6:$O$54,A22)</f>
        <v>0</v>
      </c>
      <c r="I22" s="83">
        <v>100</v>
      </c>
      <c r="J22" s="83">
        <v>25</v>
      </c>
      <c r="K22" s="83">
        <v>100</v>
      </c>
      <c r="L22" s="83">
        <v>100</v>
      </c>
      <c r="M22" s="83">
        <v>75</v>
      </c>
      <c r="N22" s="84">
        <v>50</v>
      </c>
      <c r="O22" s="83">
        <v>50</v>
      </c>
      <c r="P22" s="83">
        <v>25</v>
      </c>
      <c r="Q22" s="83">
        <v>525</v>
      </c>
      <c r="R22" s="85">
        <f t="shared" si="0"/>
        <v>0</v>
      </c>
      <c r="S22" s="86">
        <f>COUNTIF('3-Plano de Ações'!A$3:A$171,A22)</f>
        <v>1</v>
      </c>
      <c r="T22" s="86">
        <f>COUNTIFS('3-Plano de Ações'!A$3:A$171,A22,'3-Plano de Ações'!$R$3:$R$171,1)</f>
        <v>0</v>
      </c>
    </row>
    <row r="23" spans="1:20" ht="39.950000000000003" customHeight="1" x14ac:dyDescent="0.2">
      <c r="A23" s="79" t="s">
        <v>92</v>
      </c>
      <c r="B23" s="80" t="s">
        <v>849</v>
      </c>
      <c r="C23" s="80" t="s">
        <v>93</v>
      </c>
      <c r="D23" s="81" t="s">
        <v>242</v>
      </c>
      <c r="E23" s="82">
        <f>COUNTIF(DEMANDANTES!$A$2:$A$184,A23)</f>
        <v>1</v>
      </c>
      <c r="F23" s="82">
        <f>COUNTIF('7- ALINHAMENTO ESTRATÉGIA TCE'!$A$3:$A$155,A23)</f>
        <v>2</v>
      </c>
      <c r="G23" s="82">
        <f>COUNTIF('6- ALINHAMENTO ESTRATÉGIA TI'!$A$3:$A$91,A23)</f>
        <v>2</v>
      </c>
      <c r="H23" s="82">
        <f>COUNTIF(MMD!$O$6:$O$54,A23)</f>
        <v>0</v>
      </c>
      <c r="I23" s="83">
        <v>100</v>
      </c>
      <c r="J23" s="83">
        <v>25</v>
      </c>
      <c r="K23" s="83">
        <v>25</v>
      </c>
      <c r="L23" s="83">
        <v>100</v>
      </c>
      <c r="M23" s="83">
        <v>75</v>
      </c>
      <c r="N23" s="84">
        <v>75</v>
      </c>
      <c r="O23" s="83">
        <v>50</v>
      </c>
      <c r="P23" s="83">
        <v>75</v>
      </c>
      <c r="Q23" s="83">
        <v>525</v>
      </c>
      <c r="R23" s="85">
        <f t="shared" si="0"/>
        <v>1</v>
      </c>
      <c r="S23" s="86">
        <f>COUNTIF('3-Plano de Ações'!A$3:A$171,A23)</f>
        <v>4</v>
      </c>
      <c r="T23" s="86">
        <f>COUNTIFS('3-Plano de Ações'!A$3:A$171,A23,'3-Plano de Ações'!$R$3:$R$171,1)</f>
        <v>4</v>
      </c>
    </row>
    <row r="24" spans="1:20" ht="39.950000000000003" customHeight="1" x14ac:dyDescent="0.2">
      <c r="A24" s="79" t="s">
        <v>94</v>
      </c>
      <c r="B24" s="80" t="s">
        <v>849</v>
      </c>
      <c r="C24" s="80" t="s">
        <v>95</v>
      </c>
      <c r="D24" s="81" t="s">
        <v>244</v>
      </c>
      <c r="E24" s="82">
        <f>COUNTIF(DEMANDANTES!$A$2:$A$184,A24)</f>
        <v>3</v>
      </c>
      <c r="F24" s="82">
        <f>COUNTIF('7- ALINHAMENTO ESTRATÉGIA TCE'!$A$3:$A$155,A24)</f>
        <v>4</v>
      </c>
      <c r="G24" s="82">
        <f>COUNTIF('6- ALINHAMENTO ESTRATÉGIA TI'!$A$3:$A$91,A24)</f>
        <v>1</v>
      </c>
      <c r="H24" s="82">
        <f>COUNTIF(MMD!$O$6:$O$54,A24)</f>
        <v>3</v>
      </c>
      <c r="I24" s="83">
        <v>100</v>
      </c>
      <c r="J24" s="83">
        <v>50</v>
      </c>
      <c r="K24" s="83">
        <v>100</v>
      </c>
      <c r="L24" s="83">
        <v>50</v>
      </c>
      <c r="M24" s="83">
        <v>75</v>
      </c>
      <c r="N24" s="84">
        <v>75</v>
      </c>
      <c r="O24" s="83">
        <v>50</v>
      </c>
      <c r="P24" s="83">
        <v>25</v>
      </c>
      <c r="Q24" s="83">
        <v>525</v>
      </c>
      <c r="R24" s="85">
        <f t="shared" si="0"/>
        <v>1</v>
      </c>
      <c r="S24" s="86">
        <f>COUNTIF('3-Plano de Ações'!A$3:A$171,A24)</f>
        <v>2</v>
      </c>
      <c r="T24" s="86">
        <f>COUNTIFS('3-Plano de Ações'!A$3:A$171,A24,'3-Plano de Ações'!$R$3:$R$171,1)</f>
        <v>2</v>
      </c>
    </row>
    <row r="25" spans="1:20" ht="39.950000000000003" customHeight="1" x14ac:dyDescent="0.2">
      <c r="A25" s="79" t="s">
        <v>97</v>
      </c>
      <c r="B25" s="80" t="s">
        <v>849</v>
      </c>
      <c r="C25" s="80" t="s">
        <v>819</v>
      </c>
      <c r="D25" s="81" t="s">
        <v>245</v>
      </c>
      <c r="E25" s="82">
        <f>COUNTIF(DEMANDANTES!$A$2:$A$184,A25)</f>
        <v>1</v>
      </c>
      <c r="F25" s="82">
        <f>COUNTIF('7- ALINHAMENTO ESTRATÉGIA TCE'!$A$3:$A$155,A25)</f>
        <v>1</v>
      </c>
      <c r="G25" s="82">
        <f>COUNTIF('6- ALINHAMENTO ESTRATÉGIA TI'!$A$3:$A$91,A25)</f>
        <v>1</v>
      </c>
      <c r="H25" s="82">
        <f>COUNTIF(MMD!$O$6:$O$54,A25)</f>
        <v>2</v>
      </c>
      <c r="I25" s="83">
        <v>50</v>
      </c>
      <c r="J25" s="83">
        <v>100</v>
      </c>
      <c r="K25" s="83">
        <v>100</v>
      </c>
      <c r="L25" s="83">
        <v>25</v>
      </c>
      <c r="M25" s="83">
        <v>75</v>
      </c>
      <c r="N25" s="84">
        <v>75</v>
      </c>
      <c r="O25" s="83">
        <v>25</v>
      </c>
      <c r="P25" s="83">
        <v>75</v>
      </c>
      <c r="Q25" s="83">
        <v>525</v>
      </c>
      <c r="R25" s="85">
        <f t="shared" si="0"/>
        <v>1</v>
      </c>
      <c r="S25" s="86">
        <f>COUNTIF('3-Plano de Ações'!A$3:A$171,A25)</f>
        <v>1</v>
      </c>
      <c r="T25" s="86">
        <f>COUNTIFS('3-Plano de Ações'!A$3:A$171,A25,'3-Plano de Ações'!$R$3:$R$171,1)</f>
        <v>1</v>
      </c>
    </row>
    <row r="26" spans="1:20" ht="39.950000000000003" customHeight="1" x14ac:dyDescent="0.2">
      <c r="A26" s="79" t="s">
        <v>98</v>
      </c>
      <c r="B26" s="80" t="s">
        <v>851</v>
      </c>
      <c r="C26" s="80" t="s">
        <v>811</v>
      </c>
      <c r="D26" s="81" t="s">
        <v>248</v>
      </c>
      <c r="E26" s="82">
        <f>COUNTIF(DEMANDANTES!$A$2:$A$184,A26)</f>
        <v>1</v>
      </c>
      <c r="F26" s="82">
        <f>COUNTIF('7- ALINHAMENTO ESTRATÉGIA TCE'!$A$3:$A$155,A26)</f>
        <v>2</v>
      </c>
      <c r="G26" s="82">
        <f>COUNTIF('6- ALINHAMENTO ESTRATÉGIA TI'!$A$3:$A$91,A26)</f>
        <v>1</v>
      </c>
      <c r="H26" s="82">
        <f>COUNTIF(MMD!$O$6:$O$54,A26)</f>
        <v>0</v>
      </c>
      <c r="I26" s="83">
        <v>100</v>
      </c>
      <c r="J26" s="83">
        <v>25</v>
      </c>
      <c r="K26" s="83">
        <v>100</v>
      </c>
      <c r="L26" s="83">
        <v>50</v>
      </c>
      <c r="M26" s="83">
        <v>25</v>
      </c>
      <c r="N26" s="84">
        <v>50</v>
      </c>
      <c r="O26" s="83">
        <v>75</v>
      </c>
      <c r="P26" s="83">
        <v>75</v>
      </c>
      <c r="Q26" s="83">
        <v>500</v>
      </c>
      <c r="R26" s="85">
        <f t="shared" si="0"/>
        <v>1</v>
      </c>
      <c r="S26" s="86">
        <f>COUNTIF('3-Plano de Ações'!A$3:A$171,A26)</f>
        <v>4</v>
      </c>
      <c r="T26" s="86">
        <f>COUNTIFS('3-Plano de Ações'!A$3:A$171,A26,'3-Plano de Ações'!$R$3:$R$171,1)</f>
        <v>4</v>
      </c>
    </row>
    <row r="27" spans="1:20" ht="39.950000000000003" customHeight="1" x14ac:dyDescent="0.2">
      <c r="A27" s="79" t="s">
        <v>101</v>
      </c>
      <c r="B27" s="80" t="s">
        <v>849</v>
      </c>
      <c r="C27" s="80" t="s">
        <v>102</v>
      </c>
      <c r="D27" s="81" t="s">
        <v>963</v>
      </c>
      <c r="E27" s="82">
        <f>COUNTIF(DEMANDANTES!$A$2:$A$184,A27)</f>
        <v>1</v>
      </c>
      <c r="F27" s="82">
        <f>COUNTIF('7- ALINHAMENTO ESTRATÉGIA TCE'!$A$3:$A$155,A27)</f>
        <v>1</v>
      </c>
      <c r="G27" s="82">
        <f>COUNTIF('6- ALINHAMENTO ESTRATÉGIA TI'!$A$3:$A$91,A27)</f>
        <v>1</v>
      </c>
      <c r="H27" s="82">
        <f>COUNTIF(MMD!$O$6:$O$54,A27)</f>
        <v>0</v>
      </c>
      <c r="I27" s="83">
        <v>50</v>
      </c>
      <c r="J27" s="83">
        <v>25</v>
      </c>
      <c r="K27" s="83">
        <v>100</v>
      </c>
      <c r="L27" s="83">
        <v>50</v>
      </c>
      <c r="M27" s="83">
        <v>75</v>
      </c>
      <c r="N27" s="84">
        <v>75</v>
      </c>
      <c r="O27" s="83">
        <v>50</v>
      </c>
      <c r="P27" s="83">
        <v>75</v>
      </c>
      <c r="Q27" s="83">
        <v>500</v>
      </c>
      <c r="R27" s="85">
        <f t="shared" si="0"/>
        <v>0</v>
      </c>
      <c r="S27" s="86">
        <f>COUNTIF('3-Plano de Ações'!A$3:A$171,A27)</f>
        <v>1</v>
      </c>
      <c r="T27" s="86">
        <f>COUNTIFS('3-Plano de Ações'!A$3:A$171,A27,'3-Plano de Ações'!$R$3:$R$171,1)</f>
        <v>0</v>
      </c>
    </row>
    <row r="28" spans="1:20" ht="39.950000000000003" customHeight="1" x14ac:dyDescent="0.2">
      <c r="A28" s="79" t="s">
        <v>104</v>
      </c>
      <c r="B28" s="80" t="s">
        <v>849</v>
      </c>
      <c r="C28" s="80" t="s">
        <v>1151</v>
      </c>
      <c r="D28" s="81" t="s">
        <v>249</v>
      </c>
      <c r="E28" s="82">
        <f>COUNTIF(DEMANDANTES!$A$2:$A$184,A28)</f>
        <v>2</v>
      </c>
      <c r="F28" s="82">
        <f>COUNTIF('7- ALINHAMENTO ESTRATÉGIA TCE'!$A$3:$A$155,A28)</f>
        <v>7</v>
      </c>
      <c r="G28" s="82">
        <f>COUNTIF('6- ALINHAMENTO ESTRATÉGIA TI'!$A$3:$A$91,A28)</f>
        <v>2</v>
      </c>
      <c r="H28" s="82">
        <f>COUNTIF(MMD!$O$6:$O$54,A28)</f>
        <v>0</v>
      </c>
      <c r="I28" s="83">
        <v>100</v>
      </c>
      <c r="J28" s="83">
        <v>100</v>
      </c>
      <c r="K28" s="83">
        <v>100</v>
      </c>
      <c r="L28" s="83">
        <v>25</v>
      </c>
      <c r="M28" s="83">
        <v>25</v>
      </c>
      <c r="N28" s="84">
        <v>50</v>
      </c>
      <c r="O28" s="83">
        <v>25</v>
      </c>
      <c r="P28" s="83">
        <v>75</v>
      </c>
      <c r="Q28" s="83">
        <v>500</v>
      </c>
      <c r="R28" s="85">
        <f t="shared" si="0"/>
        <v>0.33333333333333331</v>
      </c>
      <c r="S28" s="86">
        <f>COUNTIF('3-Plano de Ações'!A$3:A$171,A28)</f>
        <v>6</v>
      </c>
      <c r="T28" s="86">
        <f>COUNTIFS('3-Plano de Ações'!A$3:A$171,A28,'3-Plano de Ações'!$R$3:$R$171,1)</f>
        <v>2</v>
      </c>
    </row>
    <row r="29" spans="1:20" ht="39.950000000000003" customHeight="1" x14ac:dyDescent="0.2">
      <c r="A29" s="79" t="s">
        <v>105</v>
      </c>
      <c r="B29" s="80" t="s">
        <v>850</v>
      </c>
      <c r="C29" s="80" t="s">
        <v>106</v>
      </c>
      <c r="D29" s="81" t="s">
        <v>250</v>
      </c>
      <c r="E29" s="82">
        <f>COUNTIF(DEMANDANTES!$A$2:$A$184,A29)</f>
        <v>1</v>
      </c>
      <c r="F29" s="82">
        <f>COUNTIF('7- ALINHAMENTO ESTRATÉGIA TCE'!$A$3:$A$155,A29)</f>
        <v>2</v>
      </c>
      <c r="G29" s="82">
        <f>COUNTIF('6- ALINHAMENTO ESTRATÉGIA TI'!$A$3:$A$91,A29)</f>
        <v>2</v>
      </c>
      <c r="H29" s="82">
        <f>COUNTIF(MMD!$O$6:$O$54,A29)</f>
        <v>1</v>
      </c>
      <c r="I29" s="83">
        <v>100</v>
      </c>
      <c r="J29" s="83">
        <v>25</v>
      </c>
      <c r="K29" s="83">
        <v>100</v>
      </c>
      <c r="L29" s="83">
        <v>25</v>
      </c>
      <c r="M29" s="83">
        <v>75</v>
      </c>
      <c r="N29" s="84">
        <v>75</v>
      </c>
      <c r="O29" s="83">
        <v>50</v>
      </c>
      <c r="P29" s="83">
        <v>50</v>
      </c>
      <c r="Q29" s="83">
        <v>500</v>
      </c>
      <c r="R29" s="85">
        <f t="shared" si="0"/>
        <v>1</v>
      </c>
      <c r="S29" s="86">
        <f>COUNTIF('3-Plano de Ações'!A$3:A$171,A29)</f>
        <v>1</v>
      </c>
      <c r="T29" s="86">
        <f>COUNTIFS('3-Plano de Ações'!A$3:A$171,A29,'3-Plano de Ações'!$R$3:$R$171,1)</f>
        <v>1</v>
      </c>
    </row>
    <row r="30" spans="1:20" ht="39.950000000000003" customHeight="1" x14ac:dyDescent="0.2">
      <c r="A30" s="79" t="s">
        <v>108</v>
      </c>
      <c r="B30" s="80" t="s">
        <v>849</v>
      </c>
      <c r="C30" s="80" t="s">
        <v>109</v>
      </c>
      <c r="D30" s="81" t="s">
        <v>252</v>
      </c>
      <c r="E30" s="82">
        <f>COUNTIF(DEMANDANTES!$A$2:$A$184,A30)</f>
        <v>1</v>
      </c>
      <c r="F30" s="82">
        <f>COUNTIF('7- ALINHAMENTO ESTRATÉGIA TCE'!$A$3:$A$155,A30)</f>
        <v>1</v>
      </c>
      <c r="G30" s="82">
        <f>COUNTIF('6- ALINHAMENTO ESTRATÉGIA TI'!$A$3:$A$91,A30)</f>
        <v>1</v>
      </c>
      <c r="H30" s="82">
        <f>COUNTIF(MMD!$O$6:$O$54,A30)</f>
        <v>1</v>
      </c>
      <c r="I30" s="83">
        <v>100</v>
      </c>
      <c r="J30" s="83">
        <v>25</v>
      </c>
      <c r="K30" s="83">
        <v>100</v>
      </c>
      <c r="L30" s="83">
        <v>50</v>
      </c>
      <c r="M30" s="83">
        <v>75</v>
      </c>
      <c r="N30" s="84">
        <v>50</v>
      </c>
      <c r="O30" s="83">
        <v>25</v>
      </c>
      <c r="P30" s="83">
        <v>50</v>
      </c>
      <c r="Q30" s="83">
        <v>475</v>
      </c>
      <c r="R30" s="85">
        <f t="shared" si="0"/>
        <v>0</v>
      </c>
      <c r="S30" s="86">
        <f>COUNTIF('3-Plano de Ações'!A$3:A$171,A30)</f>
        <v>1</v>
      </c>
      <c r="T30" s="86">
        <f>COUNTIFS('3-Plano de Ações'!A$3:A$171,A30,'3-Plano de Ações'!$R$3:$R$171,1)</f>
        <v>0</v>
      </c>
    </row>
    <row r="31" spans="1:20" ht="39.950000000000003" customHeight="1" x14ac:dyDescent="0.2">
      <c r="A31" s="79" t="s">
        <v>111</v>
      </c>
      <c r="B31" s="80" t="s">
        <v>849</v>
      </c>
      <c r="C31" s="80" t="s">
        <v>112</v>
      </c>
      <c r="D31" s="81" t="s">
        <v>255</v>
      </c>
      <c r="E31" s="82">
        <f>COUNTIF(DEMANDANTES!$A$2:$A$184,A31)</f>
        <v>2</v>
      </c>
      <c r="F31" s="82">
        <f>COUNTIF('7- ALINHAMENTO ESTRATÉGIA TCE'!$A$3:$A$155,A31)</f>
        <v>1</v>
      </c>
      <c r="G31" s="82">
        <f>COUNTIF('6- ALINHAMENTO ESTRATÉGIA TI'!$A$3:$A$91,A31)</f>
        <v>1</v>
      </c>
      <c r="H31" s="82">
        <f>COUNTIF(MMD!$O$6:$O$54,A31)</f>
        <v>0</v>
      </c>
      <c r="I31" s="83">
        <v>50</v>
      </c>
      <c r="J31" s="83">
        <v>25</v>
      </c>
      <c r="K31" s="83">
        <v>100</v>
      </c>
      <c r="L31" s="83">
        <v>50</v>
      </c>
      <c r="M31" s="83">
        <v>75</v>
      </c>
      <c r="N31" s="84">
        <v>50</v>
      </c>
      <c r="O31" s="83">
        <v>50</v>
      </c>
      <c r="P31" s="83">
        <v>75</v>
      </c>
      <c r="Q31" s="83">
        <v>475</v>
      </c>
      <c r="R31" s="85">
        <f t="shared" si="0"/>
        <v>0</v>
      </c>
      <c r="S31" s="86">
        <f>COUNTIF('3-Plano de Ações'!A$3:A$171,A31)</f>
        <v>1</v>
      </c>
      <c r="T31" s="86">
        <f>COUNTIFS('3-Plano de Ações'!A$3:A$171,A31,'3-Plano de Ações'!$R$3:$R$171,1)</f>
        <v>0</v>
      </c>
    </row>
    <row r="32" spans="1:20" ht="39.950000000000003" customHeight="1" x14ac:dyDescent="0.2">
      <c r="A32" s="79" t="s">
        <v>114</v>
      </c>
      <c r="B32" s="80" t="s">
        <v>849</v>
      </c>
      <c r="C32" s="80" t="s">
        <v>115</v>
      </c>
      <c r="D32" s="81" t="s">
        <v>256</v>
      </c>
      <c r="E32" s="82">
        <f>COUNTIF(DEMANDANTES!$A$2:$A$184,A32)</f>
        <v>2</v>
      </c>
      <c r="F32" s="82">
        <f>COUNTIF('7- ALINHAMENTO ESTRATÉGIA TCE'!$A$3:$A$155,A32)</f>
        <v>3</v>
      </c>
      <c r="G32" s="82">
        <f>COUNTIF('6- ALINHAMENTO ESTRATÉGIA TI'!$A$3:$A$91,A32)</f>
        <v>1</v>
      </c>
      <c r="H32" s="82">
        <f>COUNTIF(MMD!$O$6:$O$54,A32)</f>
        <v>0</v>
      </c>
      <c r="I32" s="83">
        <v>100</v>
      </c>
      <c r="J32" s="83">
        <v>50</v>
      </c>
      <c r="K32" s="83">
        <v>100</v>
      </c>
      <c r="L32" s="83">
        <v>25</v>
      </c>
      <c r="M32" s="83">
        <v>75</v>
      </c>
      <c r="N32" s="84">
        <v>75</v>
      </c>
      <c r="O32" s="83">
        <v>25</v>
      </c>
      <c r="P32" s="83">
        <v>25</v>
      </c>
      <c r="Q32" s="83">
        <v>475</v>
      </c>
      <c r="R32" s="85">
        <f t="shared" si="0"/>
        <v>0</v>
      </c>
      <c r="S32" s="86">
        <f>COUNTIF('3-Plano de Ações'!A$3:A$171,A32)</f>
        <v>1</v>
      </c>
      <c r="T32" s="86">
        <f>COUNTIFS('3-Plano de Ações'!A$3:A$171,A32,'3-Plano de Ações'!$R$3:$R$171,1)</f>
        <v>0</v>
      </c>
    </row>
    <row r="33" spans="1:20" ht="39.950000000000003" customHeight="1" x14ac:dyDescent="0.2">
      <c r="A33" s="79" t="s">
        <v>117</v>
      </c>
      <c r="B33" s="80" t="s">
        <v>849</v>
      </c>
      <c r="C33" s="80" t="s">
        <v>118</v>
      </c>
      <c r="D33" s="81" t="s">
        <v>257</v>
      </c>
      <c r="E33" s="82">
        <f>COUNTIF(DEMANDANTES!$A$2:$A$184,A33)</f>
        <v>2</v>
      </c>
      <c r="F33" s="82">
        <f>COUNTIF('7- ALINHAMENTO ESTRATÉGIA TCE'!$A$3:$A$155,A33)</f>
        <v>3</v>
      </c>
      <c r="G33" s="82">
        <f>COUNTIF('6- ALINHAMENTO ESTRATÉGIA TI'!$A$3:$A$91,A33)</f>
        <v>1</v>
      </c>
      <c r="H33" s="82">
        <f>COUNTIF(MMD!$O$6:$O$54,A33)</f>
        <v>0</v>
      </c>
      <c r="I33" s="83">
        <v>100</v>
      </c>
      <c r="J33" s="83">
        <v>25</v>
      </c>
      <c r="K33" s="83">
        <v>100</v>
      </c>
      <c r="L33" s="83">
        <v>25</v>
      </c>
      <c r="M33" s="83">
        <v>75</v>
      </c>
      <c r="N33" s="84">
        <v>75</v>
      </c>
      <c r="O33" s="83">
        <v>50</v>
      </c>
      <c r="P33" s="83">
        <v>25</v>
      </c>
      <c r="Q33" s="83">
        <v>475</v>
      </c>
      <c r="R33" s="85">
        <f t="shared" si="0"/>
        <v>0.42857142857142855</v>
      </c>
      <c r="S33" s="86">
        <f>COUNTIF('3-Plano de Ações'!A$3:A$171,A33)</f>
        <v>7</v>
      </c>
      <c r="T33" s="86">
        <f>COUNTIFS('3-Plano de Ações'!A$3:A$171,A33,'3-Plano de Ações'!$R$3:$R$171,1)</f>
        <v>3</v>
      </c>
    </row>
    <row r="34" spans="1:20" ht="39.950000000000003" customHeight="1" x14ac:dyDescent="0.2">
      <c r="A34" s="79" t="s">
        <v>120</v>
      </c>
      <c r="B34" s="80" t="s">
        <v>849</v>
      </c>
      <c r="C34" s="80" t="s">
        <v>918</v>
      </c>
      <c r="D34" s="81" t="s">
        <v>258</v>
      </c>
      <c r="E34" s="82">
        <f>COUNTIF(DEMANDANTES!$A$2:$A$184,A34)</f>
        <v>1</v>
      </c>
      <c r="F34" s="82">
        <f>COUNTIF('7- ALINHAMENTO ESTRATÉGIA TCE'!$A$3:$A$155,A34)</f>
        <v>2</v>
      </c>
      <c r="G34" s="82">
        <f>COUNTIF('6- ALINHAMENTO ESTRATÉGIA TI'!$A$3:$A$91,A34)</f>
        <v>1</v>
      </c>
      <c r="H34" s="82">
        <f>COUNTIF(MMD!$O$6:$O$54,A34)</f>
        <v>2</v>
      </c>
      <c r="I34" s="83">
        <v>100</v>
      </c>
      <c r="J34" s="83">
        <v>25</v>
      </c>
      <c r="K34" s="83">
        <v>100</v>
      </c>
      <c r="L34" s="83">
        <v>25</v>
      </c>
      <c r="M34" s="83">
        <v>75</v>
      </c>
      <c r="N34" s="84">
        <v>75</v>
      </c>
      <c r="O34" s="83">
        <v>25</v>
      </c>
      <c r="P34" s="83">
        <v>50</v>
      </c>
      <c r="Q34" s="83">
        <v>475</v>
      </c>
      <c r="R34" s="85">
        <f t="shared" si="0"/>
        <v>1</v>
      </c>
      <c r="S34" s="86">
        <f>COUNTIF('3-Plano de Ações'!A$3:A$171,A34)</f>
        <v>1</v>
      </c>
      <c r="T34" s="86">
        <f>COUNTIFS('3-Plano de Ações'!A$3:A$171,A34,'3-Plano de Ações'!$R$3:$R$171,1)</f>
        <v>1</v>
      </c>
    </row>
    <row r="35" spans="1:20" ht="39.950000000000003" customHeight="1" x14ac:dyDescent="0.2">
      <c r="A35" s="79" t="s">
        <v>121</v>
      </c>
      <c r="B35" s="80" t="s">
        <v>849</v>
      </c>
      <c r="C35" s="80" t="s">
        <v>122</v>
      </c>
      <c r="D35" s="81" t="s">
        <v>259</v>
      </c>
      <c r="E35" s="82">
        <f>COUNTIF(DEMANDANTES!$A$2:$A$184,A35)</f>
        <v>1</v>
      </c>
      <c r="F35" s="82">
        <f>COUNTIF('7- ALINHAMENTO ESTRATÉGIA TCE'!$A$3:$A$155,A35)</f>
        <v>5</v>
      </c>
      <c r="G35" s="82">
        <f>COUNTIF('6- ALINHAMENTO ESTRATÉGIA TI'!$A$3:$A$91,A35)</f>
        <v>1</v>
      </c>
      <c r="H35" s="82">
        <f>COUNTIF(MMD!$O$6:$O$54,A35)</f>
        <v>0</v>
      </c>
      <c r="I35" s="83">
        <v>100</v>
      </c>
      <c r="J35" s="83">
        <v>25</v>
      </c>
      <c r="K35" s="83">
        <v>50</v>
      </c>
      <c r="L35" s="83">
        <v>25</v>
      </c>
      <c r="M35" s="83">
        <v>75</v>
      </c>
      <c r="N35" s="84">
        <v>75</v>
      </c>
      <c r="O35" s="83">
        <v>50</v>
      </c>
      <c r="P35" s="83">
        <v>75</v>
      </c>
      <c r="Q35" s="83">
        <v>475</v>
      </c>
      <c r="R35" s="85">
        <f t="shared" si="0"/>
        <v>0</v>
      </c>
      <c r="S35" s="86">
        <f>COUNTIF('3-Plano de Ações'!A$3:A$171,A35)</f>
        <v>1</v>
      </c>
      <c r="T35" s="86">
        <f>COUNTIFS('3-Plano de Ações'!A$3:A$171,A35,'3-Plano de Ações'!$R$3:$R$171,1)</f>
        <v>0</v>
      </c>
    </row>
    <row r="36" spans="1:20" ht="39.950000000000003" customHeight="1" x14ac:dyDescent="0.2">
      <c r="A36" s="79" t="s">
        <v>124</v>
      </c>
      <c r="B36" s="80" t="s">
        <v>849</v>
      </c>
      <c r="C36" s="80" t="s">
        <v>125</v>
      </c>
      <c r="D36" s="81" t="s">
        <v>964</v>
      </c>
      <c r="E36" s="82">
        <f>COUNTIF(DEMANDANTES!$A$2:$A$184,A36)</f>
        <v>8</v>
      </c>
      <c r="F36" s="82">
        <f>COUNTIF('7- ALINHAMENTO ESTRATÉGIA TCE'!$A$3:$A$155,A36)</f>
        <v>1</v>
      </c>
      <c r="G36" s="82">
        <f>COUNTIF('6- ALINHAMENTO ESTRATÉGIA TI'!$A$3:$A$91,A36)</f>
        <v>1</v>
      </c>
      <c r="H36" s="82">
        <f>COUNTIF(MMD!$O$6:$O$54,A36)</f>
        <v>0</v>
      </c>
      <c r="I36" s="83">
        <v>100</v>
      </c>
      <c r="J36" s="83">
        <v>50</v>
      </c>
      <c r="K36" s="83">
        <v>100</v>
      </c>
      <c r="L36" s="83">
        <v>50</v>
      </c>
      <c r="M36" s="83">
        <v>25</v>
      </c>
      <c r="N36" s="84">
        <v>25</v>
      </c>
      <c r="O36" s="83">
        <v>50</v>
      </c>
      <c r="P36" s="83">
        <v>50</v>
      </c>
      <c r="Q36" s="83">
        <v>450</v>
      </c>
      <c r="R36" s="85">
        <f t="shared" si="0"/>
        <v>0</v>
      </c>
      <c r="S36" s="86">
        <f>COUNTIF('3-Plano de Ações'!A$3:A$171,A36)</f>
        <v>1</v>
      </c>
      <c r="T36" s="86">
        <f>COUNTIFS('3-Plano de Ações'!A$3:A$171,A36,'3-Plano de Ações'!$R$3:$R$171,1)</f>
        <v>0</v>
      </c>
    </row>
    <row r="37" spans="1:20" ht="39.950000000000003" customHeight="1" x14ac:dyDescent="0.2">
      <c r="A37" s="79" t="s">
        <v>127</v>
      </c>
      <c r="B37" s="80" t="s">
        <v>852</v>
      </c>
      <c r="C37" s="80" t="s">
        <v>128</v>
      </c>
      <c r="D37" s="81" t="s">
        <v>260</v>
      </c>
      <c r="E37" s="82">
        <f>COUNTIF(DEMANDANTES!$A$2:$A$184,A37)</f>
        <v>1</v>
      </c>
      <c r="F37" s="82">
        <f>COUNTIF('7- ALINHAMENTO ESTRATÉGIA TCE'!$A$3:$A$155,A37)</f>
        <v>3</v>
      </c>
      <c r="G37" s="82">
        <f>COUNTIF('6- ALINHAMENTO ESTRATÉGIA TI'!$A$3:$A$91,A37)</f>
        <v>1</v>
      </c>
      <c r="H37" s="82">
        <f>COUNTIF(MMD!$O$6:$O$54,A37)</f>
        <v>0</v>
      </c>
      <c r="I37" s="83">
        <v>50</v>
      </c>
      <c r="J37" s="83">
        <v>50</v>
      </c>
      <c r="K37" s="83">
        <v>25</v>
      </c>
      <c r="L37" s="83">
        <v>50</v>
      </c>
      <c r="M37" s="83">
        <v>75</v>
      </c>
      <c r="N37" s="84">
        <v>75</v>
      </c>
      <c r="O37" s="83">
        <v>50</v>
      </c>
      <c r="P37" s="83">
        <v>75</v>
      </c>
      <c r="Q37" s="83">
        <v>450</v>
      </c>
      <c r="R37" s="85">
        <f t="shared" si="0"/>
        <v>0</v>
      </c>
      <c r="S37" s="86">
        <f>COUNTIF('3-Plano de Ações'!A$3:A$171,A37)</f>
        <v>2</v>
      </c>
      <c r="T37" s="86">
        <f>COUNTIFS('3-Plano de Ações'!A$3:A$171,A37,'3-Plano de Ações'!$R$3:$R$171,1)</f>
        <v>0</v>
      </c>
    </row>
    <row r="38" spans="1:20" ht="39.950000000000003" customHeight="1" x14ac:dyDescent="0.2">
      <c r="A38" s="79" t="s">
        <v>130</v>
      </c>
      <c r="B38" s="80" t="s">
        <v>849</v>
      </c>
      <c r="C38" s="80" t="s">
        <v>131</v>
      </c>
      <c r="D38" s="81" t="s">
        <v>261</v>
      </c>
      <c r="E38" s="82">
        <f>COUNTIF(DEMANDANTES!$A$2:$A$184,A38)</f>
        <v>1</v>
      </c>
      <c r="F38" s="82">
        <f>COUNTIF('7- ALINHAMENTO ESTRATÉGIA TCE'!$A$3:$A$155,A38)</f>
        <v>2</v>
      </c>
      <c r="G38" s="82">
        <f>COUNTIF('6- ALINHAMENTO ESTRATÉGIA TI'!$A$3:$A$91,A38)</f>
        <v>1</v>
      </c>
      <c r="H38" s="82">
        <f>COUNTIF(MMD!$O$6:$O$54,A38)</f>
        <v>0</v>
      </c>
      <c r="I38" s="83">
        <v>100</v>
      </c>
      <c r="J38" s="83">
        <v>25</v>
      </c>
      <c r="K38" s="83">
        <v>100</v>
      </c>
      <c r="L38" s="83">
        <v>25</v>
      </c>
      <c r="M38" s="83">
        <v>25</v>
      </c>
      <c r="N38" s="84">
        <v>75</v>
      </c>
      <c r="O38" s="83">
        <v>50</v>
      </c>
      <c r="P38" s="83">
        <v>50</v>
      </c>
      <c r="Q38" s="83">
        <v>450</v>
      </c>
      <c r="R38" s="85">
        <f t="shared" si="0"/>
        <v>1</v>
      </c>
      <c r="S38" s="86">
        <f>COUNTIF('3-Plano de Ações'!A$3:A$171,A38)</f>
        <v>1</v>
      </c>
      <c r="T38" s="86">
        <f>COUNTIFS('3-Plano de Ações'!A$3:A$171,A38,'3-Plano de Ações'!$R$3:$R$171,1)</f>
        <v>1</v>
      </c>
    </row>
    <row r="39" spans="1:20" ht="39.950000000000003" customHeight="1" x14ac:dyDescent="0.2">
      <c r="A39" s="79" t="s">
        <v>132</v>
      </c>
      <c r="B39" s="80" t="s">
        <v>849</v>
      </c>
      <c r="C39" s="80" t="s">
        <v>1153</v>
      </c>
      <c r="D39" s="81" t="s">
        <v>263</v>
      </c>
      <c r="E39" s="82">
        <f>COUNTIF(DEMANDANTES!$A$2:$A$184,A39)</f>
        <v>1</v>
      </c>
      <c r="F39" s="82">
        <f>COUNTIF('7- ALINHAMENTO ESTRATÉGIA TCE'!$A$3:$A$155,A39)</f>
        <v>2</v>
      </c>
      <c r="G39" s="82">
        <f>COUNTIF('6- ALINHAMENTO ESTRATÉGIA TI'!$A$3:$A$91,A39)</f>
        <v>1</v>
      </c>
      <c r="H39" s="82">
        <f>COUNTIF(MMD!$O$6:$O$54,A39)</f>
        <v>0</v>
      </c>
      <c r="I39" s="83">
        <v>100</v>
      </c>
      <c r="J39" s="83">
        <v>25</v>
      </c>
      <c r="K39" s="83">
        <v>50</v>
      </c>
      <c r="L39" s="83">
        <v>25</v>
      </c>
      <c r="M39" s="83">
        <v>75</v>
      </c>
      <c r="N39" s="84">
        <v>75</v>
      </c>
      <c r="O39" s="83">
        <v>25</v>
      </c>
      <c r="P39" s="83">
        <v>75</v>
      </c>
      <c r="Q39" s="83">
        <v>450</v>
      </c>
      <c r="R39" s="85">
        <f t="shared" si="0"/>
        <v>0</v>
      </c>
      <c r="S39" s="86">
        <f>COUNTIF('3-Plano de Ações'!A$3:A$171,A39)</f>
        <v>2</v>
      </c>
      <c r="T39" s="86">
        <f>COUNTIFS('3-Plano de Ações'!A$3:A$171,A39,'3-Plano de Ações'!$R$3:$R$171,1)</f>
        <v>0</v>
      </c>
    </row>
    <row r="40" spans="1:20" ht="39.950000000000003" customHeight="1" x14ac:dyDescent="0.2">
      <c r="A40" s="79" t="s">
        <v>134</v>
      </c>
      <c r="B40" s="80" t="s">
        <v>852</v>
      </c>
      <c r="C40" s="80" t="s">
        <v>965</v>
      </c>
      <c r="D40" s="81" t="s">
        <v>264</v>
      </c>
      <c r="E40" s="82">
        <f>COUNTIF(DEMANDANTES!$A$2:$A$184,A40)</f>
        <v>1</v>
      </c>
      <c r="F40" s="82">
        <f>COUNTIF('7- ALINHAMENTO ESTRATÉGIA TCE'!$A$3:$A$155,A40)</f>
        <v>1</v>
      </c>
      <c r="G40" s="82">
        <f>COUNTIF('6- ALINHAMENTO ESTRATÉGIA TI'!$A$3:$A$91,A40)</f>
        <v>1</v>
      </c>
      <c r="H40" s="82">
        <f>COUNTIF(MMD!$O$6:$O$54,A40)</f>
        <v>1</v>
      </c>
      <c r="I40" s="83">
        <v>100</v>
      </c>
      <c r="J40" s="83">
        <v>25</v>
      </c>
      <c r="K40" s="83">
        <v>25</v>
      </c>
      <c r="L40" s="83">
        <v>25</v>
      </c>
      <c r="M40" s="83">
        <v>75</v>
      </c>
      <c r="N40" s="84">
        <v>75</v>
      </c>
      <c r="O40" s="83">
        <v>75</v>
      </c>
      <c r="P40" s="83">
        <v>50</v>
      </c>
      <c r="Q40" s="83">
        <v>450</v>
      </c>
      <c r="R40" s="85">
        <f t="shared" si="0"/>
        <v>1</v>
      </c>
      <c r="S40" s="86">
        <f>COUNTIF('3-Plano de Ações'!A$3:A$171,A40)</f>
        <v>1</v>
      </c>
      <c r="T40" s="86">
        <f>COUNTIFS('3-Plano de Ações'!A$3:A$171,A40,'3-Plano de Ações'!$R$3:$R$171,1)</f>
        <v>1</v>
      </c>
    </row>
    <row r="41" spans="1:20" ht="39.950000000000003" customHeight="1" x14ac:dyDescent="0.2">
      <c r="A41" s="79" t="s">
        <v>136</v>
      </c>
      <c r="B41" s="80" t="s">
        <v>850</v>
      </c>
      <c r="C41" s="80" t="s">
        <v>137</v>
      </c>
      <c r="D41" s="81" t="s">
        <v>266</v>
      </c>
      <c r="E41" s="82">
        <f>COUNTIF(DEMANDANTES!$A$2:$A$184,A41)</f>
        <v>1</v>
      </c>
      <c r="F41" s="82">
        <f>COUNTIF('7- ALINHAMENTO ESTRATÉGIA TCE'!$A$3:$A$155,A41)</f>
        <v>2</v>
      </c>
      <c r="G41" s="82">
        <f>COUNTIF('6- ALINHAMENTO ESTRATÉGIA TI'!$A$3:$A$91,A41)</f>
        <v>1</v>
      </c>
      <c r="H41" s="82">
        <f>COUNTIF(MMD!$O$6:$O$54,A41)</f>
        <v>0</v>
      </c>
      <c r="I41" s="83">
        <v>50</v>
      </c>
      <c r="J41" s="83">
        <v>25</v>
      </c>
      <c r="K41" s="83">
        <v>100</v>
      </c>
      <c r="L41" s="83">
        <v>50</v>
      </c>
      <c r="M41" s="83">
        <v>25</v>
      </c>
      <c r="N41" s="84">
        <v>75</v>
      </c>
      <c r="O41" s="83">
        <v>75</v>
      </c>
      <c r="P41" s="83">
        <v>25</v>
      </c>
      <c r="Q41" s="83">
        <v>425</v>
      </c>
      <c r="R41" s="85">
        <f t="shared" si="0"/>
        <v>1</v>
      </c>
      <c r="S41" s="86">
        <f>COUNTIF('3-Plano de Ações'!A$3:A$171,A41)</f>
        <v>1</v>
      </c>
      <c r="T41" s="86">
        <f>COUNTIFS('3-Plano de Ações'!A$3:A$171,A41,'3-Plano de Ações'!$R$3:$R$171,1)</f>
        <v>1</v>
      </c>
    </row>
    <row r="42" spans="1:20" ht="39.950000000000003" customHeight="1" x14ac:dyDescent="0.2">
      <c r="A42" s="79" t="s">
        <v>140</v>
      </c>
      <c r="B42" s="80" t="s">
        <v>850</v>
      </c>
      <c r="C42" s="80" t="s">
        <v>141</v>
      </c>
      <c r="D42" s="81" t="s">
        <v>267</v>
      </c>
      <c r="E42" s="82">
        <f>COUNTIF(DEMANDANTES!$A$2:$A$184,A42)</f>
        <v>5</v>
      </c>
      <c r="F42" s="82">
        <f>COUNTIF('7- ALINHAMENTO ESTRATÉGIA TCE'!$A$3:$A$155,A42)</f>
        <v>4</v>
      </c>
      <c r="G42" s="82">
        <f>COUNTIF('6- ALINHAMENTO ESTRATÉGIA TI'!$A$3:$A$91,A42)</f>
        <v>1</v>
      </c>
      <c r="H42" s="82">
        <f>COUNTIF(MMD!$O$6:$O$54,A42)</f>
        <v>1</v>
      </c>
      <c r="I42" s="83">
        <v>100</v>
      </c>
      <c r="J42" s="83">
        <v>50</v>
      </c>
      <c r="K42" s="83">
        <v>100</v>
      </c>
      <c r="L42" s="83">
        <v>25</v>
      </c>
      <c r="M42" s="83">
        <v>75</v>
      </c>
      <c r="N42" s="84">
        <v>25</v>
      </c>
      <c r="O42" s="83">
        <v>25</v>
      </c>
      <c r="P42" s="83">
        <v>25</v>
      </c>
      <c r="Q42" s="83">
        <v>425</v>
      </c>
      <c r="R42" s="85">
        <f t="shared" si="0"/>
        <v>1</v>
      </c>
      <c r="S42" s="86">
        <f>COUNTIF('3-Plano de Ações'!A$3:A$171,A42)</f>
        <v>1</v>
      </c>
      <c r="T42" s="86">
        <f>COUNTIFS('3-Plano de Ações'!A$3:A$171,A42,'3-Plano de Ações'!$R$3:$R$171,1)</f>
        <v>1</v>
      </c>
    </row>
    <row r="43" spans="1:20" ht="39.950000000000003" customHeight="1" x14ac:dyDescent="0.2">
      <c r="A43" s="79" t="s">
        <v>142</v>
      </c>
      <c r="B43" s="80" t="s">
        <v>849</v>
      </c>
      <c r="C43" s="80" t="s">
        <v>143</v>
      </c>
      <c r="D43" s="81" t="s">
        <v>268</v>
      </c>
      <c r="E43" s="82">
        <f>COUNTIF(DEMANDANTES!$A$2:$A$184,A43)</f>
        <v>3</v>
      </c>
      <c r="F43" s="82">
        <f>COUNTIF('7- ALINHAMENTO ESTRATÉGIA TCE'!$A$3:$A$155,A43)</f>
        <v>1</v>
      </c>
      <c r="G43" s="82">
        <f>COUNTIF('6- ALINHAMENTO ESTRATÉGIA TI'!$A$3:$A$91,A43)</f>
        <v>1</v>
      </c>
      <c r="H43" s="82">
        <f>COUNTIF(MMD!$O$6:$O$54,A43)</f>
        <v>0</v>
      </c>
      <c r="I43" s="83">
        <v>100</v>
      </c>
      <c r="J43" s="83">
        <v>25</v>
      </c>
      <c r="K43" s="83">
        <v>100</v>
      </c>
      <c r="L43" s="83">
        <v>25</v>
      </c>
      <c r="M43" s="83">
        <v>75</v>
      </c>
      <c r="N43" s="84">
        <v>25</v>
      </c>
      <c r="O43" s="83">
        <v>25</v>
      </c>
      <c r="P43" s="83">
        <v>50</v>
      </c>
      <c r="Q43" s="83">
        <v>425</v>
      </c>
      <c r="R43" s="85">
        <f t="shared" si="0"/>
        <v>0</v>
      </c>
      <c r="S43" s="86">
        <f>COUNTIF('3-Plano de Ações'!A$3:A$171,A43)</f>
        <v>1</v>
      </c>
      <c r="T43" s="86">
        <f>COUNTIFS('3-Plano de Ações'!A$3:A$171,A43,'3-Plano de Ações'!$R$3:$R$171,1)</f>
        <v>0</v>
      </c>
    </row>
    <row r="44" spans="1:20" ht="39.950000000000003" customHeight="1" x14ac:dyDescent="0.2">
      <c r="A44" s="79" t="s">
        <v>145</v>
      </c>
      <c r="B44" s="80" t="s">
        <v>849</v>
      </c>
      <c r="C44" s="80" t="s">
        <v>146</v>
      </c>
      <c r="D44" s="81" t="s">
        <v>269</v>
      </c>
      <c r="E44" s="82">
        <f>COUNTIF(DEMANDANTES!$A$2:$A$184,A44)</f>
        <v>8</v>
      </c>
      <c r="F44" s="82">
        <f>COUNTIF('7- ALINHAMENTO ESTRATÉGIA TCE'!$A$3:$A$155,A44)</f>
        <v>1</v>
      </c>
      <c r="G44" s="82">
        <f>COUNTIF('6- ALINHAMENTO ESTRATÉGIA TI'!$A$3:$A$91,A44)</f>
        <v>3</v>
      </c>
      <c r="H44" s="82">
        <f>COUNTIF(MMD!$O$6:$O$54,A44)</f>
        <v>0</v>
      </c>
      <c r="I44" s="83">
        <v>50</v>
      </c>
      <c r="J44" s="83">
        <v>25</v>
      </c>
      <c r="K44" s="83">
        <v>100</v>
      </c>
      <c r="L44" s="83">
        <v>25</v>
      </c>
      <c r="M44" s="83">
        <v>75</v>
      </c>
      <c r="N44" s="84">
        <v>50</v>
      </c>
      <c r="O44" s="83">
        <v>25</v>
      </c>
      <c r="P44" s="83">
        <v>50</v>
      </c>
      <c r="Q44" s="83">
        <v>400</v>
      </c>
      <c r="R44" s="85">
        <f t="shared" si="0"/>
        <v>0.63636363636363635</v>
      </c>
      <c r="S44" s="86">
        <f>COUNTIF('3-Plano de Ações'!A$3:A$171,A44)</f>
        <v>11</v>
      </c>
      <c r="T44" s="86">
        <f>COUNTIFS('3-Plano de Ações'!A$3:A$171,A44,'3-Plano de Ações'!$R$3:$R$171,1)</f>
        <v>7</v>
      </c>
    </row>
    <row r="45" spans="1:20" ht="39.950000000000003" customHeight="1" x14ac:dyDescent="0.2">
      <c r="A45" s="79" t="s">
        <v>167</v>
      </c>
      <c r="B45" s="80" t="s">
        <v>850</v>
      </c>
      <c r="C45" s="80" t="s">
        <v>168</v>
      </c>
      <c r="D45" s="81" t="s">
        <v>270</v>
      </c>
      <c r="E45" s="82">
        <f>COUNTIF(DEMANDANTES!$A$2:$A$184,A45)</f>
        <v>1</v>
      </c>
      <c r="F45" s="82">
        <f>COUNTIF('7- ALINHAMENTO ESTRATÉGIA TCE'!$A$3:$A$155,A45)</f>
        <v>1</v>
      </c>
      <c r="G45" s="82">
        <f>COUNTIF('6- ALINHAMENTO ESTRATÉGIA TI'!$A$3:$A$91,A45)</f>
        <v>2</v>
      </c>
      <c r="H45" s="82">
        <f>COUNTIF(MMD!$O$6:$O$54,A45)</f>
        <v>0</v>
      </c>
      <c r="I45" s="83">
        <v>50</v>
      </c>
      <c r="J45" s="83">
        <v>50</v>
      </c>
      <c r="K45" s="83">
        <v>100</v>
      </c>
      <c r="L45" s="83">
        <v>25</v>
      </c>
      <c r="M45" s="83">
        <v>25</v>
      </c>
      <c r="N45" s="84">
        <v>50</v>
      </c>
      <c r="O45" s="83">
        <v>25</v>
      </c>
      <c r="P45" s="83">
        <v>50</v>
      </c>
      <c r="Q45" s="83">
        <v>375</v>
      </c>
      <c r="R45" s="85">
        <f t="shared" si="0"/>
        <v>0</v>
      </c>
      <c r="S45" s="86">
        <f>COUNTIF('3-Plano de Ações'!A$3:A$171,A45)</f>
        <v>2</v>
      </c>
      <c r="T45" s="86">
        <f>COUNTIFS('3-Plano de Ações'!A$3:A$171,A45,'3-Plano de Ações'!$R$3:$R$171,1)</f>
        <v>0</v>
      </c>
    </row>
    <row r="46" spans="1:20" ht="39.950000000000003" customHeight="1" x14ac:dyDescent="0.2">
      <c r="A46" s="79" t="s">
        <v>172</v>
      </c>
      <c r="B46" s="80" t="s">
        <v>849</v>
      </c>
      <c r="C46" s="80" t="s">
        <v>173</v>
      </c>
      <c r="D46" s="81" t="s">
        <v>966</v>
      </c>
      <c r="E46" s="82">
        <f>COUNTIF(DEMANDANTES!$A$2:$A$184,A46)</f>
        <v>1</v>
      </c>
      <c r="F46" s="82">
        <f>COUNTIF('7- ALINHAMENTO ESTRATÉGIA TCE'!$A$3:$A$155,A46)</f>
        <v>4</v>
      </c>
      <c r="G46" s="82">
        <f>COUNTIF('6- ALINHAMENTO ESTRATÉGIA TI'!$A$3:$A$91,A46)</f>
        <v>2</v>
      </c>
      <c r="H46" s="82">
        <f>COUNTIF(MMD!$O$6:$O$54,A46)</f>
        <v>0</v>
      </c>
      <c r="I46" s="83">
        <v>50</v>
      </c>
      <c r="J46" s="83">
        <v>25</v>
      </c>
      <c r="K46" s="83">
        <v>50</v>
      </c>
      <c r="L46" s="83">
        <v>25</v>
      </c>
      <c r="M46" s="83">
        <v>75</v>
      </c>
      <c r="N46" s="84">
        <v>75</v>
      </c>
      <c r="O46" s="83">
        <v>50</v>
      </c>
      <c r="P46" s="83">
        <v>25</v>
      </c>
      <c r="Q46" s="83">
        <v>375</v>
      </c>
      <c r="R46" s="85">
        <f t="shared" si="0"/>
        <v>0</v>
      </c>
      <c r="S46" s="86">
        <f>COUNTIF('3-Plano de Ações'!A$3:A$171,A46)</f>
        <v>1</v>
      </c>
      <c r="T46" s="86">
        <f>COUNTIFS('3-Plano de Ações'!A$3:A$171,A46,'3-Plano de Ações'!$R$3:$R$171,1)</f>
        <v>0</v>
      </c>
    </row>
    <row r="47" spans="1:20" ht="39.950000000000003" customHeight="1" x14ac:dyDescent="0.2">
      <c r="A47" s="79" t="s">
        <v>175</v>
      </c>
      <c r="B47" s="80" t="s">
        <v>850</v>
      </c>
      <c r="C47" s="80" t="s">
        <v>176</v>
      </c>
      <c r="D47" s="81" t="s">
        <v>271</v>
      </c>
      <c r="E47" s="82">
        <f>COUNTIF(DEMANDANTES!$A$2:$A$184,A47)</f>
        <v>2</v>
      </c>
      <c r="F47" s="82">
        <f>COUNTIF('7- ALINHAMENTO ESTRATÉGIA TCE'!$A$3:$A$155,A47)</f>
        <v>2</v>
      </c>
      <c r="G47" s="82">
        <f>COUNTIF('6- ALINHAMENTO ESTRATÉGIA TI'!$A$3:$A$91,A47)</f>
        <v>1</v>
      </c>
      <c r="H47" s="82">
        <f>COUNTIF(MMD!$O$6:$O$54,A47)</f>
        <v>0</v>
      </c>
      <c r="I47" s="83">
        <v>50</v>
      </c>
      <c r="J47" s="83">
        <v>25</v>
      </c>
      <c r="K47" s="83">
        <v>25</v>
      </c>
      <c r="L47" s="83">
        <v>50</v>
      </c>
      <c r="M47" s="83">
        <v>75</v>
      </c>
      <c r="N47" s="84">
        <v>25</v>
      </c>
      <c r="O47" s="83">
        <v>50</v>
      </c>
      <c r="P47" s="83">
        <v>50</v>
      </c>
      <c r="Q47" s="83">
        <v>350</v>
      </c>
      <c r="R47" s="85">
        <f t="shared" si="0"/>
        <v>0.66666666666666663</v>
      </c>
      <c r="S47" s="86">
        <f>COUNTIF('3-Plano de Ações'!A$3:A$171,A47)</f>
        <v>3</v>
      </c>
      <c r="T47" s="86">
        <f>COUNTIFS('3-Plano de Ações'!A$3:A$171,A47,'3-Plano de Ações'!$R$3:$R$171,1)</f>
        <v>2</v>
      </c>
    </row>
    <row r="48" spans="1:20" ht="39.950000000000003" customHeight="1" x14ac:dyDescent="0.2">
      <c r="A48" s="79" t="s">
        <v>178</v>
      </c>
      <c r="B48" s="80" t="s">
        <v>849</v>
      </c>
      <c r="C48" s="80" t="s">
        <v>179</v>
      </c>
      <c r="D48" s="81" t="s">
        <v>272</v>
      </c>
      <c r="E48" s="82">
        <f>COUNTIF(DEMANDANTES!$A$2:$A$184,A48)</f>
        <v>1</v>
      </c>
      <c r="F48" s="82">
        <f>COUNTIF('7- ALINHAMENTO ESTRATÉGIA TCE'!$A$3:$A$155,A48)</f>
        <v>1</v>
      </c>
      <c r="G48" s="82">
        <f>COUNTIF('6- ALINHAMENTO ESTRATÉGIA TI'!$A$3:$A$91,A48)</f>
        <v>1</v>
      </c>
      <c r="H48" s="82">
        <f>COUNTIF(MMD!$O$6:$O$54,A48)</f>
        <v>0</v>
      </c>
      <c r="I48" s="83">
        <v>50</v>
      </c>
      <c r="J48" s="83">
        <v>25</v>
      </c>
      <c r="K48" s="83">
        <v>25</v>
      </c>
      <c r="L48" s="83">
        <v>25</v>
      </c>
      <c r="M48" s="83">
        <v>75</v>
      </c>
      <c r="N48" s="84">
        <v>50</v>
      </c>
      <c r="O48" s="83">
        <v>50</v>
      </c>
      <c r="P48" s="83">
        <v>50</v>
      </c>
      <c r="Q48" s="83">
        <v>350</v>
      </c>
      <c r="R48" s="85">
        <f t="shared" si="0"/>
        <v>1</v>
      </c>
      <c r="S48" s="86">
        <f>COUNTIF('3-Plano de Ações'!A$3:A$171,A48)</f>
        <v>1</v>
      </c>
      <c r="T48" s="86">
        <f>COUNTIFS('3-Plano de Ações'!A$3:A$171,A48,'3-Plano de Ações'!$R$3:$R$171,1)</f>
        <v>1</v>
      </c>
    </row>
    <row r="49" spans="1:20" ht="39.950000000000003" customHeight="1" x14ac:dyDescent="0.2">
      <c r="A49" s="79" t="s">
        <v>180</v>
      </c>
      <c r="B49" s="80" t="s">
        <v>849</v>
      </c>
      <c r="C49" s="80" t="s">
        <v>181</v>
      </c>
      <c r="D49" s="81" t="s">
        <v>274</v>
      </c>
      <c r="E49" s="82">
        <f>COUNTIF(DEMANDANTES!$A$2:$A$184,A49)</f>
        <v>1</v>
      </c>
      <c r="F49" s="82">
        <f>COUNTIF('7- ALINHAMENTO ESTRATÉGIA TCE'!$A$3:$A$155,A49)</f>
        <v>1</v>
      </c>
      <c r="G49" s="82">
        <f>COUNTIF('6- ALINHAMENTO ESTRATÉGIA TI'!$A$3:$A$91,A49)</f>
        <v>1</v>
      </c>
      <c r="H49" s="82">
        <f>COUNTIF(MMD!$O$6:$O$54,A49)</f>
        <v>0</v>
      </c>
      <c r="I49" s="83">
        <v>50</v>
      </c>
      <c r="J49" s="83">
        <v>25</v>
      </c>
      <c r="K49" s="83">
        <v>25</v>
      </c>
      <c r="L49" s="83">
        <v>25</v>
      </c>
      <c r="M49" s="83">
        <v>75</v>
      </c>
      <c r="N49" s="84">
        <v>75</v>
      </c>
      <c r="O49" s="83">
        <v>25</v>
      </c>
      <c r="P49" s="83">
        <v>50</v>
      </c>
      <c r="Q49" s="83">
        <v>350</v>
      </c>
      <c r="R49" s="85">
        <f t="shared" si="0"/>
        <v>0.5</v>
      </c>
      <c r="S49" s="86">
        <f>COUNTIF('3-Plano de Ações'!A$3:A$171,A49)</f>
        <v>2</v>
      </c>
      <c r="T49" s="86">
        <f>COUNTIFS('3-Plano de Ações'!A$3:A$171,A49,'3-Plano de Ações'!$R$3:$R$171,1)</f>
        <v>1</v>
      </c>
    </row>
    <row r="50" spans="1:20" ht="39.950000000000003" customHeight="1" x14ac:dyDescent="0.2">
      <c r="A50" s="79" t="s">
        <v>183</v>
      </c>
      <c r="B50" s="80" t="s">
        <v>852</v>
      </c>
      <c r="C50" s="80" t="s">
        <v>184</v>
      </c>
      <c r="D50" s="81" t="s">
        <v>276</v>
      </c>
      <c r="E50" s="82">
        <f>COUNTIF(DEMANDANTES!$A$2:$A$184,A50)</f>
        <v>1</v>
      </c>
      <c r="F50" s="82">
        <f>COUNTIF('7- ALINHAMENTO ESTRATÉGIA TCE'!$A$3:$A$155,A50)</f>
        <v>2</v>
      </c>
      <c r="G50" s="82">
        <f>COUNTIF('6- ALINHAMENTO ESTRATÉGIA TI'!$A$3:$A$91,A50)</f>
        <v>3</v>
      </c>
      <c r="H50" s="82">
        <f>COUNTIF(MMD!$O$6:$O$54,A50)</f>
        <v>0</v>
      </c>
      <c r="I50" s="83">
        <v>50</v>
      </c>
      <c r="J50" s="83">
        <v>25</v>
      </c>
      <c r="K50" s="83">
        <v>25</v>
      </c>
      <c r="L50" s="83">
        <v>50</v>
      </c>
      <c r="M50" s="83">
        <v>25</v>
      </c>
      <c r="N50" s="84">
        <v>50</v>
      </c>
      <c r="O50" s="83">
        <v>50</v>
      </c>
      <c r="P50" s="83">
        <v>50</v>
      </c>
      <c r="Q50" s="83">
        <v>325</v>
      </c>
      <c r="R50" s="85">
        <f t="shared" si="0"/>
        <v>0</v>
      </c>
      <c r="S50" s="86">
        <f>COUNTIF('3-Plano de Ações'!A$3:A$171,A50)</f>
        <v>3</v>
      </c>
      <c r="T50" s="86">
        <f>COUNTIFS('3-Plano de Ações'!A$3:A$171,A50,'3-Plano de Ações'!$R$3:$R$171,1)</f>
        <v>0</v>
      </c>
    </row>
    <row r="51" spans="1:20" ht="39.950000000000003" customHeight="1" x14ac:dyDescent="0.2">
      <c r="A51" s="79" t="s">
        <v>188</v>
      </c>
      <c r="B51" s="80" t="s">
        <v>849</v>
      </c>
      <c r="C51" s="80" t="s">
        <v>189</v>
      </c>
      <c r="D51" s="81" t="s">
        <v>277</v>
      </c>
      <c r="E51" s="82">
        <f>COUNTIF(DEMANDANTES!$A$2:$A$184,A51)</f>
        <v>2</v>
      </c>
      <c r="F51" s="82">
        <f>COUNTIF('7- ALINHAMENTO ESTRATÉGIA TCE'!$A$3:$A$155,A51)</f>
        <v>1</v>
      </c>
      <c r="G51" s="82">
        <f>COUNTIF('6- ALINHAMENTO ESTRATÉGIA TI'!$A$3:$A$91,A51)</f>
        <v>1</v>
      </c>
      <c r="H51" s="82">
        <f>COUNTIF(MMD!$O$6:$O$54,A51)</f>
        <v>0</v>
      </c>
      <c r="I51" s="83">
        <v>50</v>
      </c>
      <c r="J51" s="83">
        <v>50</v>
      </c>
      <c r="K51" s="83">
        <v>100</v>
      </c>
      <c r="L51" s="83">
        <v>25</v>
      </c>
      <c r="M51" s="83">
        <v>25</v>
      </c>
      <c r="N51" s="84">
        <v>25</v>
      </c>
      <c r="O51" s="83">
        <v>25</v>
      </c>
      <c r="P51" s="83">
        <v>25</v>
      </c>
      <c r="Q51" s="83">
        <v>325</v>
      </c>
      <c r="R51" s="85">
        <f t="shared" si="0"/>
        <v>0</v>
      </c>
      <c r="S51" s="86">
        <f>COUNTIF('3-Plano de Ações'!A$3:A$171,A51)</f>
        <v>1</v>
      </c>
      <c r="T51" s="86">
        <f>COUNTIFS('3-Plano de Ações'!A$3:A$171,A51,'3-Plano de Ações'!$R$3:$R$171,1)</f>
        <v>0</v>
      </c>
    </row>
    <row r="52" spans="1:20" ht="39.950000000000003" customHeight="1" x14ac:dyDescent="0.2">
      <c r="A52" s="79" t="s">
        <v>190</v>
      </c>
      <c r="B52" s="80" t="s">
        <v>849</v>
      </c>
      <c r="C52" s="80" t="s">
        <v>191</v>
      </c>
      <c r="D52" s="81" t="s">
        <v>278</v>
      </c>
      <c r="E52" s="82">
        <f>COUNTIF(DEMANDANTES!$A$2:$A$184,A52)</f>
        <v>1</v>
      </c>
      <c r="F52" s="82">
        <f>COUNTIF('7- ALINHAMENTO ESTRATÉGIA TCE'!$A$3:$A$155,A52)</f>
        <v>1</v>
      </c>
      <c r="G52" s="82">
        <f>COUNTIF('6- ALINHAMENTO ESTRATÉGIA TI'!$A$3:$A$91,A52)</f>
        <v>1</v>
      </c>
      <c r="H52" s="82">
        <f>COUNTIF(MMD!$O$6:$O$54,A52)</f>
        <v>0</v>
      </c>
      <c r="I52" s="83">
        <v>50</v>
      </c>
      <c r="J52" s="83">
        <v>25</v>
      </c>
      <c r="K52" s="83">
        <v>100</v>
      </c>
      <c r="L52" s="83">
        <v>25</v>
      </c>
      <c r="M52" s="83">
        <v>25</v>
      </c>
      <c r="N52" s="84">
        <v>50</v>
      </c>
      <c r="O52" s="83">
        <v>25</v>
      </c>
      <c r="P52" s="83">
        <v>25</v>
      </c>
      <c r="Q52" s="83">
        <v>325</v>
      </c>
      <c r="R52" s="85">
        <f t="shared" si="0"/>
        <v>1</v>
      </c>
      <c r="S52" s="86">
        <f>COUNTIF('3-Plano de Ações'!A$3:A$171,A52)</f>
        <v>1</v>
      </c>
      <c r="T52" s="86">
        <f>COUNTIFS('3-Plano de Ações'!A$3:A$171,A52,'3-Plano de Ações'!$R$3:$R$171,1)</f>
        <v>1</v>
      </c>
    </row>
    <row r="53" spans="1:20" ht="39.950000000000003" customHeight="1" x14ac:dyDescent="0.2">
      <c r="A53" s="79" t="s">
        <v>192</v>
      </c>
      <c r="B53" s="80" t="s">
        <v>849</v>
      </c>
      <c r="C53" s="80" t="s">
        <v>967</v>
      </c>
      <c r="D53" s="81" t="s">
        <v>279</v>
      </c>
      <c r="E53" s="82">
        <f>COUNTIF(DEMANDANTES!$A$2:$A$184,A53)</f>
        <v>2</v>
      </c>
      <c r="F53" s="82">
        <f>COUNTIF('7- ALINHAMENTO ESTRATÉGIA TCE'!$A$3:$A$155,A53)</f>
        <v>3</v>
      </c>
      <c r="G53" s="82">
        <f>COUNTIF('6- ALINHAMENTO ESTRATÉGIA TI'!$A$3:$A$91,A53)</f>
        <v>1</v>
      </c>
      <c r="H53" s="82">
        <f>COUNTIF(MMD!$O$6:$O$54,A53)</f>
        <v>0</v>
      </c>
      <c r="I53" s="83">
        <v>50</v>
      </c>
      <c r="J53" s="83">
        <v>25</v>
      </c>
      <c r="K53" s="83">
        <v>100</v>
      </c>
      <c r="L53" s="83">
        <v>25</v>
      </c>
      <c r="M53" s="83">
        <v>25</v>
      </c>
      <c r="N53" s="84">
        <v>25</v>
      </c>
      <c r="O53" s="83">
        <v>25</v>
      </c>
      <c r="P53" s="83">
        <v>25</v>
      </c>
      <c r="Q53" s="83">
        <v>300</v>
      </c>
      <c r="R53" s="85">
        <f t="shared" si="0"/>
        <v>0</v>
      </c>
      <c r="S53" s="86">
        <f>COUNTIF('3-Plano de Ações'!A$3:A$171,A53)</f>
        <v>1</v>
      </c>
      <c r="T53" s="86">
        <f>COUNTIFS('3-Plano de Ações'!A$3:A$171,A53,'3-Plano de Ações'!$R$3:$R$171,1)</f>
        <v>0</v>
      </c>
    </row>
    <row r="54" spans="1:20" ht="39.950000000000003" customHeight="1" x14ac:dyDescent="0.2">
      <c r="A54" s="79" t="s">
        <v>195</v>
      </c>
      <c r="B54" s="80" t="s">
        <v>849</v>
      </c>
      <c r="C54" s="80" t="s">
        <v>196</v>
      </c>
      <c r="D54" s="81" t="s">
        <v>280</v>
      </c>
      <c r="E54" s="82">
        <f>COUNTIF(DEMANDANTES!$A$2:$A$184,A54)</f>
        <v>1</v>
      </c>
      <c r="F54" s="82">
        <f>COUNTIF('7- ALINHAMENTO ESTRATÉGIA TCE'!$A$3:$A$155,A54)</f>
        <v>1</v>
      </c>
      <c r="G54" s="82">
        <f>COUNTIF('6- ALINHAMENTO ESTRATÉGIA TI'!$A$3:$A$91,A54)</f>
        <v>1</v>
      </c>
      <c r="H54" s="82">
        <f>COUNTIF(MMD!$O$6:$O$54,A54)</f>
        <v>0</v>
      </c>
      <c r="I54" s="83">
        <v>50</v>
      </c>
      <c r="J54" s="83">
        <v>25</v>
      </c>
      <c r="K54" s="83">
        <v>25</v>
      </c>
      <c r="L54" s="83">
        <v>25</v>
      </c>
      <c r="M54" s="83">
        <v>25</v>
      </c>
      <c r="N54" s="84">
        <v>75</v>
      </c>
      <c r="O54" s="83">
        <v>25</v>
      </c>
      <c r="P54" s="83">
        <v>50</v>
      </c>
      <c r="Q54" s="83">
        <v>300</v>
      </c>
      <c r="R54" s="85">
        <f t="shared" si="0"/>
        <v>1</v>
      </c>
      <c r="S54" s="86">
        <f>COUNTIF('3-Plano de Ações'!A$3:A$171,A54)</f>
        <v>3</v>
      </c>
      <c r="T54" s="86">
        <f>COUNTIFS('3-Plano de Ações'!A$3:A$171,A54,'3-Plano de Ações'!$R$3:$R$171,1)</f>
        <v>3</v>
      </c>
    </row>
    <row r="55" spans="1:20" ht="39.950000000000003" customHeight="1" x14ac:dyDescent="0.2">
      <c r="A55" s="79" t="s">
        <v>198</v>
      </c>
      <c r="B55" s="80" t="s">
        <v>851</v>
      </c>
      <c r="C55" s="80" t="s">
        <v>199</v>
      </c>
      <c r="D55" s="81" t="s">
        <v>281</v>
      </c>
      <c r="E55" s="82">
        <f>COUNTIF(DEMANDANTES!$A$2:$A$184,A55)</f>
        <v>1</v>
      </c>
      <c r="F55" s="82">
        <f>COUNTIF('7- ALINHAMENTO ESTRATÉGIA TCE'!$A$3:$A$155,A55)</f>
        <v>2</v>
      </c>
      <c r="G55" s="82">
        <f>COUNTIF('6- ALINHAMENTO ESTRATÉGIA TI'!$A$3:$A$91,A55)</f>
        <v>1</v>
      </c>
      <c r="H55" s="82">
        <f>COUNTIF(MMD!$O$6:$O$54,A55)</f>
        <v>0</v>
      </c>
      <c r="I55" s="83">
        <v>50</v>
      </c>
      <c r="J55" s="83">
        <v>25</v>
      </c>
      <c r="K55" s="83">
        <v>25</v>
      </c>
      <c r="L55" s="83">
        <v>25</v>
      </c>
      <c r="M55" s="83">
        <v>25</v>
      </c>
      <c r="N55" s="84">
        <v>50</v>
      </c>
      <c r="O55" s="83">
        <v>50</v>
      </c>
      <c r="P55" s="83">
        <v>25</v>
      </c>
      <c r="Q55" s="83">
        <v>275</v>
      </c>
      <c r="R55" s="85">
        <f t="shared" si="0"/>
        <v>1</v>
      </c>
      <c r="S55" s="86">
        <f>COUNTIF('3-Plano de Ações'!A$3:A$171,A55)</f>
        <v>2</v>
      </c>
      <c r="T55" s="86">
        <f>COUNTIFS('3-Plano de Ações'!A$3:A$171,A55,'3-Plano de Ações'!$R$3:$R$171,1)</f>
        <v>2</v>
      </c>
    </row>
    <row r="56" spans="1:20" ht="39.950000000000003" customHeight="1" x14ac:dyDescent="0.2">
      <c r="A56" s="79" t="s">
        <v>202</v>
      </c>
      <c r="B56" s="80" t="s">
        <v>849</v>
      </c>
      <c r="C56" s="80" t="s">
        <v>957</v>
      </c>
      <c r="D56" s="81" t="s">
        <v>282</v>
      </c>
      <c r="E56" s="82">
        <f>COUNTIF(DEMANDANTES!$A$2:$A$184,A56)</f>
        <v>1</v>
      </c>
      <c r="F56" s="82">
        <f>COUNTIF('7- ALINHAMENTO ESTRATÉGIA TCE'!$A$3:$A$155,A56)</f>
        <v>4</v>
      </c>
      <c r="G56" s="82">
        <f>COUNTIF('6- ALINHAMENTO ESTRATÉGIA TI'!$A$3:$A$91,A56)</f>
        <v>1</v>
      </c>
      <c r="H56" s="82">
        <f>COUNTIF(MMD!$O$6:$O$54,A56)</f>
        <v>0</v>
      </c>
      <c r="I56" s="83"/>
      <c r="J56" s="83"/>
      <c r="K56" s="83"/>
      <c r="L56" s="83"/>
      <c r="M56" s="83"/>
      <c r="N56" s="84"/>
      <c r="O56" s="83"/>
      <c r="P56" s="83"/>
      <c r="Q56" s="83">
        <v>700</v>
      </c>
      <c r="R56" s="85">
        <f t="shared" si="0"/>
        <v>0</v>
      </c>
      <c r="S56" s="86">
        <f>COUNTIF('3-Plano de Ações'!A$3:A$171,A56)</f>
        <v>1</v>
      </c>
      <c r="T56" s="86">
        <f>COUNTIFS('3-Plano de Ações'!A$3:A$171,A56,'3-Plano de Ações'!$R$3:$R$171,1)</f>
        <v>0</v>
      </c>
    </row>
    <row r="57" spans="1:20" ht="39.950000000000003" customHeight="1" x14ac:dyDescent="0.2">
      <c r="A57" s="79" t="s">
        <v>284</v>
      </c>
      <c r="B57" s="80" t="s">
        <v>850</v>
      </c>
      <c r="C57" s="80" t="s">
        <v>285</v>
      </c>
      <c r="D57" s="81" t="s">
        <v>910</v>
      </c>
      <c r="E57" s="82">
        <f>COUNTIF(DEMANDANTES!$A$2:$A$184,A57)</f>
        <v>17</v>
      </c>
      <c r="F57" s="82">
        <f>COUNTIF('7- ALINHAMENTO ESTRATÉGIA TCE'!$A$3:$A$155,A57)</f>
        <v>2</v>
      </c>
      <c r="G57" s="82">
        <f>COUNTIF('6- ALINHAMENTO ESTRATÉGIA TI'!$A$3:$A$91,A57)</f>
        <v>1</v>
      </c>
      <c r="H57" s="82">
        <f>COUNTIF(MMD!$O$6:$O$54,A57)</f>
        <v>5</v>
      </c>
      <c r="I57" s="83"/>
      <c r="J57" s="83"/>
      <c r="K57" s="83"/>
      <c r="L57" s="83"/>
      <c r="M57" s="83"/>
      <c r="N57" s="84"/>
      <c r="O57" s="83"/>
      <c r="P57" s="83"/>
      <c r="Q57" s="83">
        <v>700</v>
      </c>
      <c r="R57" s="85">
        <f t="shared" si="0"/>
        <v>0.75</v>
      </c>
      <c r="S57" s="86">
        <f>COUNTIF('3-Plano de Ações'!A$3:A$171,A57)</f>
        <v>16</v>
      </c>
      <c r="T57" s="86">
        <f>COUNTIFS('3-Plano de Ações'!A$3:A$171,A57,'3-Plano de Ações'!$R$3:$R$171,1)</f>
        <v>12</v>
      </c>
    </row>
    <row r="58" spans="1:20" ht="39.950000000000003" customHeight="1" x14ac:dyDescent="0.2">
      <c r="A58" s="79" t="s">
        <v>781</v>
      </c>
      <c r="B58" s="80" t="s">
        <v>852</v>
      </c>
      <c r="C58" s="80" t="s">
        <v>823</v>
      </c>
      <c r="D58" s="81" t="s">
        <v>824</v>
      </c>
      <c r="E58" s="82">
        <f>COUNTIF(DEMANDANTES!$A$2:$A$184,A58)</f>
        <v>16</v>
      </c>
      <c r="F58" s="82">
        <f>COUNTIF('7- ALINHAMENTO ESTRATÉGIA TCE'!$A$3:$A$155,A58)</f>
        <v>2</v>
      </c>
      <c r="G58" s="82">
        <f>COUNTIF('6- ALINHAMENTO ESTRATÉGIA TI'!$A$3:$A$91,A58)</f>
        <v>4</v>
      </c>
      <c r="H58" s="82">
        <f>COUNTIF(MMD!$O$6:$O$54,A58)</f>
        <v>0</v>
      </c>
      <c r="I58" s="83"/>
      <c r="J58" s="83"/>
      <c r="K58" s="83"/>
      <c r="L58" s="83"/>
      <c r="M58" s="83"/>
      <c r="N58" s="84"/>
      <c r="O58" s="83"/>
      <c r="P58" s="83"/>
      <c r="Q58" s="83">
        <v>700</v>
      </c>
      <c r="R58" s="85">
        <f t="shared" si="0"/>
        <v>0</v>
      </c>
      <c r="S58" s="86">
        <f>COUNTIF('3-Plano de Ações'!A$3:A$171,A58)</f>
        <v>7</v>
      </c>
      <c r="T58" s="86">
        <f>COUNTIFS('3-Plano de Ações'!A$3:A$171,A58,'3-Plano de Ações'!$R$3:$R$171,1)</f>
        <v>0</v>
      </c>
    </row>
    <row r="59" spans="1:20" ht="39.950000000000003" customHeight="1" x14ac:dyDescent="0.2">
      <c r="A59" s="79" t="s">
        <v>911</v>
      </c>
      <c r="B59" s="80" t="s">
        <v>849</v>
      </c>
      <c r="C59" s="81" t="s">
        <v>919</v>
      </c>
      <c r="D59" s="81" t="s">
        <v>921</v>
      </c>
      <c r="E59" s="82">
        <f>COUNTIF(DEMANDANTES!$A$2:$A$184,A59)</f>
        <v>1</v>
      </c>
      <c r="F59" s="82">
        <f>COUNTIF('7- ALINHAMENTO ESTRATÉGIA TCE'!$A$3:$A$155,A59)</f>
        <v>1</v>
      </c>
      <c r="G59" s="82">
        <f>COUNTIF('6- ALINHAMENTO ESTRATÉGIA TI'!$A$3:$A$91,A59)</f>
        <v>1</v>
      </c>
      <c r="H59" s="82">
        <f>COUNTIF(MMD!$O$6:$O$54,A59)</f>
        <v>1</v>
      </c>
      <c r="I59" s="83"/>
      <c r="J59" s="83"/>
      <c r="K59" s="83"/>
      <c r="L59" s="83"/>
      <c r="M59" s="83"/>
      <c r="N59" s="84"/>
      <c r="O59" s="83"/>
      <c r="P59" s="83"/>
      <c r="Q59" s="83">
        <v>700</v>
      </c>
      <c r="R59" s="85">
        <f t="shared" si="0"/>
        <v>0</v>
      </c>
      <c r="S59" s="86">
        <f>COUNTIF('3-Plano de Ações'!A$3:A$171,A59)</f>
        <v>1</v>
      </c>
      <c r="T59" s="86">
        <f>COUNTIFS('3-Plano de Ações'!A$3:A$171,A59,'3-Plano de Ações'!$R$3:$R$171,1)</f>
        <v>0</v>
      </c>
    </row>
    <row r="60" spans="1:20" ht="39.950000000000003" customHeight="1" x14ac:dyDescent="0.2">
      <c r="A60" s="79" t="s">
        <v>912</v>
      </c>
      <c r="B60" s="80" t="s">
        <v>849</v>
      </c>
      <c r="C60" s="81" t="s">
        <v>920</v>
      </c>
      <c r="D60" s="81" t="s">
        <v>922</v>
      </c>
      <c r="E60" s="82">
        <f>COUNTIF(DEMANDANTES!$A$2:$A$184,A60)</f>
        <v>1</v>
      </c>
      <c r="F60" s="82">
        <f>COUNTIF('7- ALINHAMENTO ESTRATÉGIA TCE'!$A$3:$A$155,A60)</f>
        <v>1</v>
      </c>
      <c r="G60" s="82">
        <f>COUNTIF('6- ALINHAMENTO ESTRATÉGIA TI'!$A$3:$A$91,A60)</f>
        <v>1</v>
      </c>
      <c r="H60" s="82">
        <f>COUNTIF(MMD!$O$6:$O$54,A60)</f>
        <v>1</v>
      </c>
      <c r="I60" s="83"/>
      <c r="J60" s="83"/>
      <c r="K60" s="83"/>
      <c r="L60" s="83"/>
      <c r="M60" s="83"/>
      <c r="N60" s="84"/>
      <c r="O60" s="83"/>
      <c r="P60" s="83"/>
      <c r="Q60" s="83">
        <v>700</v>
      </c>
      <c r="R60" s="85">
        <f>T60/S60</f>
        <v>0</v>
      </c>
      <c r="S60" s="86">
        <f>COUNTIF('3-Plano de Ações'!A$3:A$171,A60)</f>
        <v>1</v>
      </c>
      <c r="T60" s="86">
        <f>COUNTIFS('3-Plano de Ações'!A$3:A$171,A60,'3-Plano de Ações'!$R$3:$R$171,1)</f>
        <v>0</v>
      </c>
    </row>
    <row r="61" spans="1:20" s="221" customFormat="1" ht="51" x14ac:dyDescent="0.25">
      <c r="A61" s="79" t="s">
        <v>913</v>
      </c>
      <c r="B61" s="80" t="s">
        <v>849</v>
      </c>
      <c r="C61" s="81" t="s">
        <v>1152</v>
      </c>
      <c r="D61" s="311" t="s">
        <v>1149</v>
      </c>
      <c r="E61" s="82">
        <f>COUNTIF(DEMANDANTES!$A$2:$A$184,A61)</f>
        <v>1</v>
      </c>
      <c r="F61" s="82">
        <f>COUNTIF('7- ALINHAMENTO ESTRATÉGIA TCE'!$A$3:$A$155,A61)</f>
        <v>1</v>
      </c>
      <c r="G61" s="82">
        <f>COUNTIF('6- ALINHAMENTO ESTRATÉGIA TI'!$A$3:$A$91,A61)</f>
        <v>2</v>
      </c>
      <c r="H61" s="82">
        <f>COUNTIF(MMD!$O$6:$O$54,A61)</f>
        <v>2</v>
      </c>
      <c r="I61" s="82"/>
      <c r="J61" s="82"/>
      <c r="K61" s="82"/>
      <c r="L61" s="82"/>
      <c r="M61" s="82"/>
      <c r="N61" s="82"/>
      <c r="O61" s="82"/>
      <c r="P61" s="82"/>
      <c r="Q61" s="83">
        <v>700</v>
      </c>
      <c r="R61" s="85">
        <f t="shared" si="0"/>
        <v>0.66666666666666663</v>
      </c>
      <c r="S61" s="86">
        <f>COUNTIF('3-Plano de Ações'!A$3:A$171,A61)</f>
        <v>3</v>
      </c>
      <c r="T61" s="86">
        <f>COUNTIFS('3-Plano de Ações'!A$3:A$171,A61,'3-Plano de Ações'!$R$3:$R$171,1)</f>
        <v>2</v>
      </c>
    </row>
    <row r="62" spans="1:20" s="221" customFormat="1" ht="39.950000000000003" customHeight="1" x14ac:dyDescent="0.25">
      <c r="A62" s="312" t="s">
        <v>1146</v>
      </c>
      <c r="B62" s="313" t="s">
        <v>849</v>
      </c>
      <c r="C62" s="313" t="s">
        <v>1147</v>
      </c>
      <c r="D62" s="313" t="str">
        <f>C62</f>
        <v>Viabilizar a fiscalização e acompanhamento de concursos públicos</v>
      </c>
      <c r="E62" s="82">
        <f>COUNTIF(DEMANDANTES!$A$2:$A$184,A62)</f>
        <v>1</v>
      </c>
      <c r="F62" s="82">
        <f>COUNTIF('7- ALINHAMENTO ESTRATÉGIA TCE'!$A$3:$A$155,A62)</f>
        <v>1</v>
      </c>
      <c r="G62" s="82">
        <f>COUNTIF('6- ALINHAMENTO ESTRATÉGIA TI'!$A$3:$A$91,A62)</f>
        <v>1</v>
      </c>
      <c r="H62" s="313"/>
      <c r="I62" s="313"/>
      <c r="J62" s="313"/>
      <c r="K62" s="313"/>
      <c r="L62" s="313"/>
      <c r="M62" s="313"/>
      <c r="N62" s="313"/>
      <c r="O62" s="313"/>
      <c r="P62" s="313"/>
      <c r="Q62" s="83">
        <v>700</v>
      </c>
      <c r="R62" s="85">
        <f t="shared" si="0"/>
        <v>0</v>
      </c>
      <c r="S62" s="86">
        <f>COUNTIF('3-Plano de Ações'!A$3:A$171,A62)</f>
        <v>1</v>
      </c>
      <c r="T62" s="86">
        <f>COUNTIFS('3-Plano de Ações'!A$3:A$171,A62,'3-Plano de Ações'!$R$3:$R$171,1)</f>
        <v>0</v>
      </c>
    </row>
    <row r="63" spans="1:20" s="221" customFormat="1" ht="39.950000000000003" customHeight="1" x14ac:dyDescent="0.25">
      <c r="A63" s="312" t="s">
        <v>1148</v>
      </c>
      <c r="B63" s="313" t="s">
        <v>850</v>
      </c>
      <c r="C63" s="313" t="s">
        <v>1399</v>
      </c>
      <c r="D63" s="313" t="s">
        <v>1183</v>
      </c>
      <c r="E63" s="82">
        <f>COUNTIF(DEMANDANTES!$A$2:$A$184,A63)</f>
        <v>1</v>
      </c>
      <c r="F63" s="82">
        <f>COUNTIF('7- ALINHAMENTO ESTRATÉGIA TCE'!$A$3:$A$155,A63)</f>
        <v>1</v>
      </c>
      <c r="G63" s="82">
        <f>COUNTIF('6- ALINHAMENTO ESTRATÉGIA TI'!$A$3:$A$91,A63)</f>
        <v>1</v>
      </c>
      <c r="H63" s="313"/>
      <c r="I63" s="313"/>
      <c r="J63" s="313"/>
      <c r="K63" s="313"/>
      <c r="L63" s="313"/>
      <c r="M63" s="313"/>
      <c r="N63" s="313"/>
      <c r="O63" s="313"/>
      <c r="P63" s="313"/>
      <c r="Q63" s="83">
        <v>700</v>
      </c>
      <c r="R63" s="85">
        <f>T63/S63</f>
        <v>1</v>
      </c>
      <c r="S63" s="86">
        <f>COUNTIF('3-Plano de Ações'!A$3:A$171,A63)</f>
        <v>1</v>
      </c>
      <c r="T63" s="86">
        <f>COUNTIFS('3-Plano de Ações'!A$3:A$171,A63,'3-Plano de Ações'!$R$3:$R$171,1)</f>
        <v>1</v>
      </c>
    </row>
    <row r="64" spans="1:20" ht="39.950000000000003" customHeight="1" thickBot="1" x14ac:dyDescent="0.25">
      <c r="A64" s="113"/>
      <c r="B64" s="103"/>
      <c r="C64" s="103"/>
      <c r="D64" s="114"/>
      <c r="E64" s="103"/>
      <c r="F64" s="115"/>
      <c r="G64" s="115"/>
      <c r="H64" s="115"/>
      <c r="I64" s="116"/>
      <c r="J64" s="116"/>
      <c r="K64" s="116"/>
      <c r="L64" s="116"/>
      <c r="M64" s="116"/>
      <c r="N64" s="117"/>
      <c r="O64" s="116"/>
      <c r="P64" s="116"/>
      <c r="Q64" s="116"/>
    </row>
    <row r="65" spans="2:7" ht="39.950000000000003" customHeight="1" thickBot="1" x14ac:dyDescent="0.25">
      <c r="B65" s="98" t="s">
        <v>367</v>
      </c>
      <c r="C65" s="98" t="s">
        <v>368</v>
      </c>
      <c r="D65" s="98" t="s">
        <v>370</v>
      </c>
      <c r="E65" s="98" t="s">
        <v>369</v>
      </c>
      <c r="F65" s="98" t="s">
        <v>372</v>
      </c>
      <c r="G65" s="129" t="s">
        <v>373</v>
      </c>
    </row>
    <row r="66" spans="2:7" ht="39.950000000000003" customHeight="1" thickBot="1" x14ac:dyDescent="0.25">
      <c r="B66" s="118" t="s">
        <v>16</v>
      </c>
      <c r="C66" s="100">
        <f>COUNTIF($B$3:$B$63,B66)</f>
        <v>37</v>
      </c>
      <c r="D66" s="119">
        <v>0.7</v>
      </c>
      <c r="E66" s="101">
        <f>C66*D66</f>
        <v>25.9</v>
      </c>
      <c r="F66" s="102">
        <f>G66/C66</f>
        <v>0.32432432432432434</v>
      </c>
      <c r="G66" s="101">
        <f>COUNTIFS($B$3:$B$63,B66,$R$3:$R$63,1)</f>
        <v>12</v>
      </c>
    </row>
    <row r="67" spans="2:7" ht="39.950000000000003" customHeight="1" thickBot="1" x14ac:dyDescent="0.25">
      <c r="B67" s="118" t="s">
        <v>48</v>
      </c>
      <c r="C67" s="100">
        <f>COUNTIF($B$3:$B$63,B67)</f>
        <v>9</v>
      </c>
      <c r="D67" s="119">
        <v>0.7</v>
      </c>
      <c r="E67" s="101">
        <f t="shared" ref="E67:E70" si="1">C67*D67</f>
        <v>6.3</v>
      </c>
      <c r="F67" s="102">
        <f t="shared" ref="F67:F71" si="2">G67/C67</f>
        <v>0.33333333333333331</v>
      </c>
      <c r="G67" s="101">
        <f>COUNTIFS($B$3:$B$63,B67,$R$3:$R$63,1)</f>
        <v>3</v>
      </c>
    </row>
    <row r="68" spans="2:7" ht="39.950000000000003" customHeight="1" thickBot="1" x14ac:dyDescent="0.25">
      <c r="B68" s="118" t="s">
        <v>33</v>
      </c>
      <c r="C68" s="100">
        <f>COUNTIF($B$3:$B$63,B68)</f>
        <v>4</v>
      </c>
      <c r="D68" s="119">
        <v>0.9</v>
      </c>
      <c r="E68" s="101">
        <f t="shared" si="1"/>
        <v>3.6</v>
      </c>
      <c r="F68" s="102">
        <f t="shared" si="2"/>
        <v>0.5</v>
      </c>
      <c r="G68" s="101">
        <f>COUNTIFS($B$3:$B$63,B68,$R$3:$R$63,1)</f>
        <v>2</v>
      </c>
    </row>
    <row r="69" spans="2:7" ht="39.950000000000003" customHeight="1" thickBot="1" x14ac:dyDescent="0.25">
      <c r="B69" s="118" t="s">
        <v>55</v>
      </c>
      <c r="C69" s="100">
        <f>COUNTIF($B$3:$B$63,B69)</f>
        <v>2</v>
      </c>
      <c r="D69" s="119">
        <v>1</v>
      </c>
      <c r="E69" s="101">
        <f t="shared" si="1"/>
        <v>2</v>
      </c>
      <c r="F69" s="102">
        <f t="shared" si="2"/>
        <v>0</v>
      </c>
      <c r="G69" s="101">
        <f>COUNTIFS($B$3:$B$63,B69,$R$3:$R$63,1)</f>
        <v>0</v>
      </c>
    </row>
    <row r="70" spans="2:7" ht="39.950000000000003" customHeight="1" thickBot="1" x14ac:dyDescent="0.25">
      <c r="B70" s="118" t="s">
        <v>21</v>
      </c>
      <c r="C70" s="100">
        <f>COUNTIF($B$3:$B$63,B70)</f>
        <v>9</v>
      </c>
      <c r="D70" s="119">
        <v>0.9</v>
      </c>
      <c r="E70" s="101">
        <f t="shared" si="1"/>
        <v>8.1</v>
      </c>
      <c r="F70" s="102">
        <f t="shared" si="2"/>
        <v>0.55555555555555558</v>
      </c>
      <c r="G70" s="101">
        <f>COUNTIFS($B$3:$B$63,B70,$R$3:$R$63,1)</f>
        <v>5</v>
      </c>
    </row>
    <row r="71" spans="2:7" ht="39.950000000000003" customHeight="1" thickBot="1" x14ac:dyDescent="0.25">
      <c r="B71" s="104" t="s">
        <v>301</v>
      </c>
      <c r="C71" s="105">
        <f>SUM(C66:C70)</f>
        <v>61</v>
      </c>
      <c r="D71" s="107">
        <f>E71/C71</f>
        <v>0.75245901639344259</v>
      </c>
      <c r="E71" s="106">
        <f>SUM(E66:E70)</f>
        <v>45.9</v>
      </c>
      <c r="F71" s="107">
        <f t="shared" si="2"/>
        <v>0.36065573770491804</v>
      </c>
      <c r="G71" s="106">
        <f>SUM(G66:G70)</f>
        <v>22</v>
      </c>
    </row>
  </sheetData>
  <autoFilter ref="A2:T63">
    <sortState ref="A3:T66">
      <sortCondition ref="A2:A66"/>
    </sortState>
  </autoFilter>
  <customSheetViews>
    <customSheetView guid="{6DFBCBA6-E327-48F2-941C-44ACD0154C7D}" scale="70" fitToPage="1" showAutoFilter="1" hiddenColumns="1" topLeftCell="A64">
      <selection activeCell="C64" sqref="C64"/>
      <pageMargins left="0.511811024" right="0.511811024" top="0.78740157499999996" bottom="0.78740157499999996" header="0.31496062000000002" footer="0.31496062000000002"/>
      <pageSetup paperSize="9" scale="40" fitToHeight="0" orientation="landscape" r:id="rId1"/>
      <autoFilter ref="A2:T65">
        <sortState ref="A3:T66">
          <sortCondition ref="A2:A66"/>
        </sortState>
      </autoFilter>
    </customSheetView>
    <customSheetView guid="{9DA56328-1E02-4631-BF3A-66F8FD0B96FD}" scale="160" fitToPage="1" showAutoFilter="1" hiddenColumns="1" topLeftCell="A53">
      <selection activeCell="C58" sqref="C58"/>
      <pageMargins left="0.511811024" right="0.511811024" top="0.78740157499999996" bottom="0.78740157499999996" header="0.31496062000000002" footer="0.31496062000000002"/>
      <pageSetup paperSize="9" scale="40" fitToHeight="0" orientation="landscape" r:id="rId2"/>
      <autoFilter ref="A2:T65">
        <sortState ref="A3:T66">
          <sortCondition ref="A2:A66"/>
        </sortState>
      </autoFilter>
    </customSheetView>
  </customSheetViews>
  <pageMargins left="0.511811024" right="0.511811024" top="0.78740157499999996" bottom="0.78740157499999996" header="0.31496062000000002" footer="0.31496062000000002"/>
  <pageSetup paperSize="9" scale="40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8"/>
  <sheetViews>
    <sheetView tabSelected="1" topLeftCell="C168" zoomScale="70" zoomScaleNormal="70" workbookViewId="0">
      <selection activeCell="O183" sqref="O183"/>
    </sheetView>
  </sheetViews>
  <sheetFormatPr defaultRowHeight="50.1" customHeight="1" x14ac:dyDescent="0.2"/>
  <cols>
    <col min="1" max="1" width="7.7109375" style="3" customWidth="1"/>
    <col min="2" max="2" width="23.85546875" style="189" customWidth="1"/>
    <col min="3" max="3" width="59.42578125" style="189" customWidth="1"/>
    <col min="4" max="4" width="18.85546875" style="110" customWidth="1"/>
    <col min="5" max="5" width="47.42578125" style="93" customWidth="1"/>
    <col min="6" max="6" width="20.28515625" style="277" customWidth="1"/>
    <col min="7" max="7" width="16.42578125" style="280" customWidth="1"/>
    <col min="8" max="8" width="16.5703125" style="244" customWidth="1"/>
    <col min="9" max="9" width="12.28515625" style="93" customWidth="1"/>
    <col min="10" max="10" width="13.85546875" style="93" customWidth="1"/>
    <col min="11" max="11" width="17.28515625" style="93" customWidth="1"/>
    <col min="12" max="12" width="16" style="93" customWidth="1"/>
    <col min="13" max="13" width="12.5703125" style="111" customWidth="1"/>
    <col min="14" max="14" width="19" style="459" customWidth="1"/>
    <col min="15" max="15" width="23.140625" style="447" customWidth="1"/>
    <col min="16" max="16" width="27.7109375" style="111" bestFit="1" customWidth="1"/>
    <col min="17" max="17" width="18" style="237" customWidth="1"/>
    <col min="18" max="18" width="11.28515625" style="3" customWidth="1"/>
    <col min="19" max="19" width="19.140625" style="234" customWidth="1"/>
    <col min="20" max="20" width="10.28515625" style="237" customWidth="1"/>
    <col min="21" max="21" width="26.85546875" style="216" customWidth="1"/>
    <col min="22" max="16384" width="9.140625" style="93"/>
  </cols>
  <sheetData>
    <row r="1" spans="1:21" ht="50.1" customHeight="1" x14ac:dyDescent="0.2">
      <c r="A1" s="270" t="s">
        <v>8</v>
      </c>
      <c r="B1" s="184"/>
      <c r="C1" s="184"/>
      <c r="D1" s="91"/>
      <c r="E1" s="76"/>
      <c r="F1" s="183"/>
      <c r="G1" s="235"/>
      <c r="H1" s="239"/>
      <c r="I1" s="245"/>
      <c r="J1" s="245"/>
      <c r="K1" s="76"/>
      <c r="L1" s="76"/>
      <c r="M1" s="92"/>
      <c r="N1" s="454"/>
      <c r="O1" s="439"/>
      <c r="P1" s="92"/>
      <c r="Q1" s="235"/>
      <c r="R1" s="219"/>
      <c r="S1" s="232"/>
      <c r="T1" s="235"/>
    </row>
    <row r="2" spans="1:21" s="1" customFormat="1" ht="50.1" customHeight="1" x14ac:dyDescent="0.25">
      <c r="A2" s="264" t="s">
        <v>9</v>
      </c>
      <c r="B2" s="264" t="str">
        <f>VLOOKUP(A2,'2-Inventário de Necessidades'!A2:B63,2,1)</f>
        <v>Categoria</v>
      </c>
      <c r="C2" s="264" t="str">
        <f>VLOOKUP(B2,'2-Inventário de Necessidades'!B2:C63,2,1)</f>
        <v>Necessidade de TI</v>
      </c>
      <c r="D2" s="264" t="s">
        <v>11</v>
      </c>
      <c r="E2" s="265" t="s">
        <v>12</v>
      </c>
      <c r="F2" s="265" t="s">
        <v>375</v>
      </c>
      <c r="G2" s="265" t="s">
        <v>366</v>
      </c>
      <c r="H2" s="264" t="s">
        <v>365</v>
      </c>
      <c r="I2" s="264" t="s">
        <v>381</v>
      </c>
      <c r="J2" s="264" t="s">
        <v>13</v>
      </c>
      <c r="K2" s="264" t="s">
        <v>382</v>
      </c>
      <c r="L2" s="264" t="s">
        <v>383</v>
      </c>
      <c r="M2" s="264" t="s">
        <v>384</v>
      </c>
      <c r="N2" s="264" t="s">
        <v>834</v>
      </c>
      <c r="O2" s="266" t="s">
        <v>835</v>
      </c>
      <c r="P2" s="264" t="s">
        <v>1096</v>
      </c>
      <c r="Q2" s="264" t="s">
        <v>14</v>
      </c>
      <c r="R2" s="264" t="s">
        <v>371</v>
      </c>
      <c r="S2" s="264" t="s">
        <v>1169</v>
      </c>
      <c r="T2" s="268" t="s">
        <v>364</v>
      </c>
      <c r="U2" s="268" t="s">
        <v>1173</v>
      </c>
    </row>
    <row r="3" spans="1:21" ht="50.1" customHeight="1" x14ac:dyDescent="0.2">
      <c r="A3" s="176" t="s">
        <v>15</v>
      </c>
      <c r="B3" s="342" t="str">
        <f>VLOOKUP(A3,'2-Inventário de Necessidades'!$A$2:$B$63,2,0)</f>
        <v>SISTEMAS DE INFORMAÇÃO</v>
      </c>
      <c r="C3" s="342" t="str">
        <f>VLOOKUP(A3,'2-Inventário de Necessidades'!$A$2:$C$63,3,0)</f>
        <v>Viabilização de solução para atender à Nova Contabilidade do Setor Público</v>
      </c>
      <c r="D3" s="174" t="s">
        <v>1002</v>
      </c>
      <c r="E3" s="177" t="s">
        <v>765</v>
      </c>
      <c r="F3" s="178" t="s">
        <v>380</v>
      </c>
      <c r="G3" s="179">
        <v>3</v>
      </c>
      <c r="H3" s="240" t="str">
        <f t="shared" ref="H3:H34" si="0">IF(
 ROUNDUP(SUM((J3-I3)/30),0)&gt;0,
 CONCATENATE(ROUNDUP(SUM((J3-I3)/30),0)," meses"),
  IF((G3*3)&lt;5,
  CONCATENATE(((G3*3)-1)," a ",G3*3," meses"),
   IF((G3*3)&gt;11,
   CONCATENATE("Superior a ", SUM((G3*3)/12)," ano(s)"),
   CONCATENATE(((G3*3)-1)," a ",G3*3," meses")
   )
  )
 )</f>
        <v>8 meses</v>
      </c>
      <c r="I3" s="180">
        <v>42248</v>
      </c>
      <c r="J3" s="180">
        <v>42461</v>
      </c>
      <c r="K3" s="180">
        <v>42248</v>
      </c>
      <c r="L3" s="180">
        <v>42370</v>
      </c>
      <c r="M3" s="240" t="str">
        <f t="shared" ref="M3:M34" ca="1" si="1">IF(K3="", "-",CONCATENATE(ROUNDUP(SUM(((IF(L3="",TODAY(),L3))-K3)/30),0)," meses"))</f>
        <v>5 meses</v>
      </c>
      <c r="N3" s="179" t="s">
        <v>841</v>
      </c>
      <c r="O3" s="440">
        <f>IF(ISERROR(VLOOKUP(D3,'4-Investimento-Custeio'!$B$3:$I$39,8,0))=TRUE, 0, VLOOKUP(D3,'4-Investimento-Custeio'!$B$3:$I$39,8,0))</f>
        <v>0</v>
      </c>
      <c r="P3" s="175">
        <v>0</v>
      </c>
      <c r="Q3" s="181" t="str">
        <f t="shared" ref="Q3:Q34" si="2">IF(K3="","Não Iniciado",IF(L3="","Em andamento","Concluído"))</f>
        <v>Concluído</v>
      </c>
      <c r="R3" s="182">
        <f t="shared" ref="R3:R34" si="3">IF(L3="",0,1)</f>
        <v>1</v>
      </c>
      <c r="S3" s="181" t="s">
        <v>1161</v>
      </c>
      <c r="T3" s="275">
        <v>1</v>
      </c>
      <c r="U3" s="218"/>
    </row>
    <row r="4" spans="1:21" ht="50.1" customHeight="1" x14ac:dyDescent="0.2">
      <c r="A4" s="176" t="s">
        <v>15</v>
      </c>
      <c r="B4" s="342" t="str">
        <f>VLOOKUP(A4,'2-Inventário de Necessidades'!$A$2:$B$63,2,0)</f>
        <v>SISTEMAS DE INFORMAÇÃO</v>
      </c>
      <c r="C4" s="342" t="str">
        <f>VLOOKUP(A4,'2-Inventário de Necessidades'!$A$2:$C$63,3,0)</f>
        <v>Viabilização de solução para atender à Nova Contabilidade do Setor Público</v>
      </c>
      <c r="D4" s="174" t="s">
        <v>1000</v>
      </c>
      <c r="E4" s="177" t="s">
        <v>766</v>
      </c>
      <c r="F4" s="178" t="s">
        <v>380</v>
      </c>
      <c r="G4" s="179">
        <v>3</v>
      </c>
      <c r="H4" s="240" t="str">
        <f t="shared" si="0"/>
        <v>8 meses</v>
      </c>
      <c r="I4" s="180">
        <v>42248</v>
      </c>
      <c r="J4" s="180">
        <v>42461</v>
      </c>
      <c r="K4" s="180">
        <v>42370</v>
      </c>
      <c r="L4" s="180">
        <v>42446</v>
      </c>
      <c r="M4" s="240" t="str">
        <f t="shared" ca="1" si="1"/>
        <v>3 meses</v>
      </c>
      <c r="N4" s="179" t="s">
        <v>841</v>
      </c>
      <c r="O4" s="440">
        <f>IF(ISERROR(VLOOKUP(D4,'4-Investimento-Custeio'!$B$3:$I$39,8,0))=TRUE, 0, VLOOKUP(D4,'4-Investimento-Custeio'!$B$3:$I$39,8,0))</f>
        <v>0</v>
      </c>
      <c r="P4" s="175">
        <v>0</v>
      </c>
      <c r="Q4" s="181" t="str">
        <f t="shared" si="2"/>
        <v>Concluído</v>
      </c>
      <c r="R4" s="182">
        <f t="shared" si="3"/>
        <v>1</v>
      </c>
      <c r="S4" s="181" t="s">
        <v>1161</v>
      </c>
      <c r="T4" s="275">
        <v>2</v>
      </c>
      <c r="U4" s="218"/>
    </row>
    <row r="5" spans="1:21" ht="50.1" customHeight="1" x14ac:dyDescent="0.2">
      <c r="A5" s="176" t="s">
        <v>18</v>
      </c>
      <c r="B5" s="342" t="str">
        <f>VLOOKUP(A5,'2-Inventário de Necessidades'!$A$2:$B$63,2,0)</f>
        <v>SISTEMAS DE INFORMAÇÃO</v>
      </c>
      <c r="C5" s="342" t="str">
        <f>VLOOKUP(A5,'2-Inventário de Necessidades'!$A$2:$C$63,3,0)</f>
        <v>Viabilização de solução para fiscalização de licitações e contratos</v>
      </c>
      <c r="D5" s="174" t="s">
        <v>1031</v>
      </c>
      <c r="E5" s="177" t="s">
        <v>763</v>
      </c>
      <c r="F5" s="178" t="s">
        <v>380</v>
      </c>
      <c r="G5" s="179">
        <v>3</v>
      </c>
      <c r="H5" s="240" t="str">
        <f t="shared" si="0"/>
        <v>3 meses</v>
      </c>
      <c r="I5" s="180">
        <v>42309</v>
      </c>
      <c r="J5" s="180">
        <v>42370</v>
      </c>
      <c r="K5" s="180">
        <v>42339</v>
      </c>
      <c r="L5" s="180">
        <v>42401</v>
      </c>
      <c r="M5" s="240" t="str">
        <f t="shared" ca="1" si="1"/>
        <v>3 meses</v>
      </c>
      <c r="N5" s="179" t="s">
        <v>841</v>
      </c>
      <c r="O5" s="440">
        <f>IF(ISERROR(VLOOKUP(D5,'4-Investimento-Custeio'!$B$3:$I$39,8,0))=TRUE, 0, VLOOKUP(D5,'4-Investimento-Custeio'!$B$3:$I$39,8,0))</f>
        <v>0</v>
      </c>
      <c r="P5" s="175">
        <v>0</v>
      </c>
      <c r="Q5" s="181" t="str">
        <f t="shared" si="2"/>
        <v>Concluído</v>
      </c>
      <c r="R5" s="182">
        <f t="shared" si="3"/>
        <v>1</v>
      </c>
      <c r="S5" s="181" t="s">
        <v>1161</v>
      </c>
      <c r="T5" s="275">
        <v>5</v>
      </c>
      <c r="U5" s="218"/>
    </row>
    <row r="6" spans="1:21" ht="50.1" customHeight="1" x14ac:dyDescent="0.2">
      <c r="A6" s="176" t="s">
        <v>18</v>
      </c>
      <c r="B6" s="342" t="str">
        <f>VLOOKUP(A6,'2-Inventário de Necessidades'!$A$2:$B$63,2,0)</f>
        <v>SISTEMAS DE INFORMAÇÃO</v>
      </c>
      <c r="C6" s="342" t="str">
        <f>VLOOKUP(A6,'2-Inventário de Necessidades'!$A$2:$C$63,3,0)</f>
        <v>Viabilização de solução para fiscalização de licitações e contratos</v>
      </c>
      <c r="D6" s="174" t="s">
        <v>999</v>
      </c>
      <c r="E6" s="177" t="s">
        <v>764</v>
      </c>
      <c r="F6" s="178" t="s">
        <v>380</v>
      </c>
      <c r="G6" s="179">
        <v>3</v>
      </c>
      <c r="H6" s="240" t="str">
        <f t="shared" si="0"/>
        <v>3 meses</v>
      </c>
      <c r="I6" s="180">
        <v>42309</v>
      </c>
      <c r="J6" s="180">
        <v>42370</v>
      </c>
      <c r="K6" s="180">
        <v>42401</v>
      </c>
      <c r="L6" s="180">
        <v>42461</v>
      </c>
      <c r="M6" s="240" t="str">
        <f t="shared" ca="1" si="1"/>
        <v>2 meses</v>
      </c>
      <c r="N6" s="179" t="s">
        <v>841</v>
      </c>
      <c r="O6" s="440">
        <f>IF(ISERROR(VLOOKUP(D6,'4-Investimento-Custeio'!$B$3:$I$39,8,0))=TRUE, 0, VLOOKUP(D6,'4-Investimento-Custeio'!$B$3:$I$39,8,0))</f>
        <v>0</v>
      </c>
      <c r="P6" s="175">
        <v>0</v>
      </c>
      <c r="Q6" s="181" t="str">
        <f t="shared" si="2"/>
        <v>Concluído</v>
      </c>
      <c r="R6" s="182">
        <f t="shared" si="3"/>
        <v>1</v>
      </c>
      <c r="S6" s="181" t="s">
        <v>1161</v>
      </c>
      <c r="T6" s="275">
        <v>6</v>
      </c>
      <c r="U6" s="218"/>
    </row>
    <row r="7" spans="1:21" ht="50.1" customHeight="1" x14ac:dyDescent="0.2">
      <c r="A7" s="176" t="s">
        <v>20</v>
      </c>
      <c r="B7" s="342" t="str">
        <f>VLOOKUP(A7,'2-Inventário de Necessidades'!$A$2:$B$63,2,0)</f>
        <v>SERVIÇOS DE TI</v>
      </c>
      <c r="C7" s="342" t="str">
        <f>VLOOKUP(A7,'2-Inventário de Necessidades'!$A$2:$C$63,3,0)</f>
        <v>Contratação de serviço técnico especializado em desenvolvimento e manutenção de software,infraestrutura de TI e administração de banco de dados</v>
      </c>
      <c r="D7" s="174" t="s">
        <v>1001</v>
      </c>
      <c r="E7" s="177" t="s">
        <v>778</v>
      </c>
      <c r="F7" s="178" t="s">
        <v>380</v>
      </c>
      <c r="G7" s="179">
        <v>2</v>
      </c>
      <c r="H7" s="240" t="str">
        <f t="shared" si="0"/>
        <v>8 meses</v>
      </c>
      <c r="I7" s="180">
        <v>42248</v>
      </c>
      <c r="J7" s="180">
        <v>42461</v>
      </c>
      <c r="K7" s="180">
        <v>42248</v>
      </c>
      <c r="L7" s="180">
        <v>42339</v>
      </c>
      <c r="M7" s="240" t="str">
        <f t="shared" ca="1" si="1"/>
        <v>4 meses</v>
      </c>
      <c r="N7" s="179" t="s">
        <v>295</v>
      </c>
      <c r="O7" s="440">
        <f>IF(ISERROR(VLOOKUP(D7,'4-Investimento-Custeio'!$B$3:$I$39,8,0))=TRUE, 0, VLOOKUP(D7,'4-Investimento-Custeio'!$B$3:$I$39,8,0))</f>
        <v>0</v>
      </c>
      <c r="P7" s="175">
        <v>0</v>
      </c>
      <c r="Q7" s="181" t="str">
        <f t="shared" si="2"/>
        <v>Concluído</v>
      </c>
      <c r="R7" s="182">
        <f t="shared" si="3"/>
        <v>1</v>
      </c>
      <c r="S7" s="181" t="s">
        <v>1161</v>
      </c>
      <c r="T7" s="275">
        <v>8</v>
      </c>
      <c r="U7" s="218"/>
    </row>
    <row r="8" spans="1:21" ht="50.1" customHeight="1" x14ac:dyDescent="0.2">
      <c r="A8" s="176" t="s">
        <v>20</v>
      </c>
      <c r="B8" s="342" t="str">
        <f>VLOOKUP(A8,'2-Inventário de Necessidades'!$A$2:$B$63,2,0)</f>
        <v>SERVIÇOS DE TI</v>
      </c>
      <c r="C8" s="342" t="str">
        <f>VLOOKUP(A8,'2-Inventário de Necessidades'!$A$2:$C$63,3,0)</f>
        <v>Contratação de serviço técnico especializado em desenvolvimento e manutenção de software,infraestrutura de TI e administração de banco de dados</v>
      </c>
      <c r="D8" s="174" t="s">
        <v>1050</v>
      </c>
      <c r="E8" s="177" t="s">
        <v>377</v>
      </c>
      <c r="F8" s="178" t="s">
        <v>220</v>
      </c>
      <c r="G8" s="179">
        <v>2</v>
      </c>
      <c r="H8" s="240" t="str">
        <f t="shared" si="0"/>
        <v>8 meses</v>
      </c>
      <c r="I8" s="180">
        <v>42248</v>
      </c>
      <c r="J8" s="180">
        <v>42461</v>
      </c>
      <c r="K8" s="180">
        <v>42339</v>
      </c>
      <c r="L8" s="180">
        <v>42430</v>
      </c>
      <c r="M8" s="240" t="str">
        <f t="shared" ca="1" si="1"/>
        <v>4 meses</v>
      </c>
      <c r="N8" s="179" t="s">
        <v>295</v>
      </c>
      <c r="O8" s="440">
        <f>IF(ISERROR(VLOOKUP(D8,'4-Investimento-Custeio'!$B$3:$I$39,8,0))=TRUE, 0, VLOOKUP(D8,'4-Investimento-Custeio'!$B$3:$I$39,8,0))</f>
        <v>0</v>
      </c>
      <c r="P8" s="175">
        <v>0</v>
      </c>
      <c r="Q8" s="181" t="str">
        <f t="shared" si="2"/>
        <v>Concluído</v>
      </c>
      <c r="R8" s="182">
        <f t="shared" si="3"/>
        <v>1</v>
      </c>
      <c r="S8" s="181" t="s">
        <v>1161</v>
      </c>
      <c r="T8" s="275">
        <v>9</v>
      </c>
      <c r="U8" s="218"/>
    </row>
    <row r="9" spans="1:21" ht="50.1" customHeight="1" x14ac:dyDescent="0.2">
      <c r="A9" s="176" t="s">
        <v>23</v>
      </c>
      <c r="B9" s="342" t="str">
        <f>VLOOKUP(A9,'2-Inventário de Necessidades'!$A$2:$B$63,2,0)</f>
        <v>SISTEMAS DE INFORMAÇÃO</v>
      </c>
      <c r="C9" s="342" t="str">
        <f>VLOOKUP(A9,'2-Inventário de Necessidades'!$A$2:$C$63,3,0)</f>
        <v>Desenvolvimento de solução de modernização do sistema de Plenário</v>
      </c>
      <c r="D9" s="174" t="s">
        <v>1039</v>
      </c>
      <c r="E9" s="177" t="s">
        <v>802</v>
      </c>
      <c r="F9" s="178" t="s">
        <v>380</v>
      </c>
      <c r="G9" s="179">
        <v>4</v>
      </c>
      <c r="H9" s="240" t="str">
        <f t="shared" si="0"/>
        <v>13 meses</v>
      </c>
      <c r="I9" s="180">
        <v>42339</v>
      </c>
      <c r="J9" s="180">
        <v>42705</v>
      </c>
      <c r="K9" s="180">
        <v>42370</v>
      </c>
      <c r="L9" s="180">
        <v>42430</v>
      </c>
      <c r="M9" s="240" t="str">
        <f t="shared" ca="1" si="1"/>
        <v>2 meses</v>
      </c>
      <c r="N9" s="179" t="s">
        <v>841</v>
      </c>
      <c r="O9" s="440">
        <f>IF(ISERROR(VLOOKUP(D9,'4-Investimento-Custeio'!$B$3:$I$39,8,0))=TRUE, 0, VLOOKUP(D9,'4-Investimento-Custeio'!$B$3:$I$39,8,0))</f>
        <v>0</v>
      </c>
      <c r="P9" s="175">
        <v>0</v>
      </c>
      <c r="Q9" s="181" t="str">
        <f t="shared" si="2"/>
        <v>Concluído</v>
      </c>
      <c r="R9" s="182">
        <f t="shared" si="3"/>
        <v>1</v>
      </c>
      <c r="S9" s="181" t="s">
        <v>1161</v>
      </c>
      <c r="T9" s="275">
        <v>11</v>
      </c>
      <c r="U9" s="218"/>
    </row>
    <row r="10" spans="1:21" ht="50.1" customHeight="1" x14ac:dyDescent="0.2">
      <c r="A10" s="176" t="s">
        <v>30</v>
      </c>
      <c r="B10" s="342" t="str">
        <f>VLOOKUP(A10,'2-Inventário de Necessidades'!$A$2:$B$63,2,0)</f>
        <v>SISTEMAS DE INFORMAÇÃO</v>
      </c>
      <c r="C10" s="342" t="str">
        <f>VLOOKUP(A10,'2-Inventário de Necessidades'!$A$2:$C$63,3,0)</f>
        <v>Desenvolvimento de solução de sistematização e consolidação de normas e jurisprudência</v>
      </c>
      <c r="D10" s="174" t="s">
        <v>1017</v>
      </c>
      <c r="E10" s="177" t="s">
        <v>770</v>
      </c>
      <c r="F10" s="178" t="s">
        <v>380</v>
      </c>
      <c r="G10" s="179">
        <v>2</v>
      </c>
      <c r="H10" s="240" t="str">
        <f t="shared" si="0"/>
        <v>6 meses</v>
      </c>
      <c r="I10" s="180">
        <v>42156</v>
      </c>
      <c r="J10" s="180">
        <v>42309</v>
      </c>
      <c r="K10" s="180">
        <v>42217</v>
      </c>
      <c r="L10" s="180">
        <v>42339</v>
      </c>
      <c r="M10" s="240" t="str">
        <f t="shared" ca="1" si="1"/>
        <v>5 meses</v>
      </c>
      <c r="N10" s="179" t="s">
        <v>841</v>
      </c>
      <c r="O10" s="440">
        <f>IF(ISERROR(VLOOKUP(D10,'4-Investimento-Custeio'!$B$3:$I$39,8,0))=TRUE, 0, VLOOKUP(D10,'4-Investimento-Custeio'!$B$3:$I$39,8,0))</f>
        <v>0</v>
      </c>
      <c r="P10" s="175">
        <v>0</v>
      </c>
      <c r="Q10" s="181" t="str">
        <f t="shared" si="2"/>
        <v>Concluído</v>
      </c>
      <c r="R10" s="182">
        <f t="shared" si="3"/>
        <v>1</v>
      </c>
      <c r="S10" s="181" t="s">
        <v>1161</v>
      </c>
      <c r="T10" s="275">
        <v>16</v>
      </c>
      <c r="U10" s="218"/>
    </row>
    <row r="11" spans="1:21" ht="50.1" customHeight="1" x14ac:dyDescent="0.2">
      <c r="A11" s="176" t="s">
        <v>32</v>
      </c>
      <c r="B11" s="342" t="str">
        <f>VLOOKUP(A11,'2-Inventário de Necessidades'!$A$2:$B$63,2,0)</f>
        <v>INFRAESTRUTURA DE TI</v>
      </c>
      <c r="C11" s="342" t="str">
        <f>VLOOKUP(A11,'2-Inventário de Necessidades'!$A$2:$C$63,3,0)</f>
        <v>Manutenção, ampliação e melhoria da infraestrutura de TI e da 
rede de comunicação</v>
      </c>
      <c r="D11" s="174" t="s">
        <v>1052</v>
      </c>
      <c r="E11" s="177" t="s">
        <v>771</v>
      </c>
      <c r="F11" s="178" t="s">
        <v>380</v>
      </c>
      <c r="G11" s="179">
        <v>3</v>
      </c>
      <c r="H11" s="240" t="str">
        <f t="shared" si="0"/>
        <v>9 meses</v>
      </c>
      <c r="I11" s="180">
        <v>42217</v>
      </c>
      <c r="J11" s="180">
        <v>42461</v>
      </c>
      <c r="K11" s="180">
        <v>42278</v>
      </c>
      <c r="L11" s="180">
        <v>42430</v>
      </c>
      <c r="M11" s="240" t="str">
        <f t="shared" ca="1" si="1"/>
        <v>6 meses</v>
      </c>
      <c r="N11" s="179" t="s">
        <v>295</v>
      </c>
      <c r="O11" s="440">
        <f>IF(ISERROR(VLOOKUP(D11,'4-Investimento-Custeio'!$B$3:$I$39,8,0))=TRUE, 0, VLOOKUP(D11,'4-Investimento-Custeio'!$B$3:$I$39,8,0))</f>
        <v>0</v>
      </c>
      <c r="P11" s="175">
        <v>0</v>
      </c>
      <c r="Q11" s="181" t="str">
        <f t="shared" si="2"/>
        <v>Concluído</v>
      </c>
      <c r="R11" s="182">
        <f t="shared" si="3"/>
        <v>1</v>
      </c>
      <c r="S11" s="181" t="s">
        <v>1161</v>
      </c>
      <c r="T11" s="275">
        <v>18</v>
      </c>
      <c r="U11" s="218"/>
    </row>
    <row r="12" spans="1:21" ht="50.1" customHeight="1" x14ac:dyDescent="0.2">
      <c r="A12" s="176" t="s">
        <v>32</v>
      </c>
      <c r="B12" s="342" t="str">
        <f>VLOOKUP(A12,'2-Inventário de Necessidades'!$A$2:$B$63,2,0)</f>
        <v>INFRAESTRUTURA DE TI</v>
      </c>
      <c r="C12" s="342" t="str">
        <f>VLOOKUP(A12,'2-Inventário de Necessidades'!$A$2:$C$63,3,0)</f>
        <v>Manutenção, ampliação e melhoria da infraestrutura de TI e da 
rede de comunicação</v>
      </c>
      <c r="D12" s="174" t="s">
        <v>1043</v>
      </c>
      <c r="E12" s="177" t="s">
        <v>774</v>
      </c>
      <c r="F12" s="178" t="s">
        <v>380</v>
      </c>
      <c r="G12" s="179">
        <v>1</v>
      </c>
      <c r="H12" s="240" t="str">
        <f t="shared" si="0"/>
        <v>2 a 3 meses</v>
      </c>
      <c r="I12" s="180"/>
      <c r="J12" s="180"/>
      <c r="K12" s="180">
        <v>42370</v>
      </c>
      <c r="L12" s="180">
        <v>42401</v>
      </c>
      <c r="M12" s="240" t="str">
        <f t="shared" ca="1" si="1"/>
        <v>2 meses</v>
      </c>
      <c r="N12" s="179" t="s">
        <v>295</v>
      </c>
      <c r="O12" s="440">
        <f>IF(ISERROR(VLOOKUP(D12,'4-Investimento-Custeio'!$B$3:$I$39,8,0))=TRUE, 0, VLOOKUP(D12,'4-Investimento-Custeio'!$B$3:$I$39,8,0))</f>
        <v>0</v>
      </c>
      <c r="P12" s="175">
        <v>0</v>
      </c>
      <c r="Q12" s="181" t="str">
        <f t="shared" si="2"/>
        <v>Concluído</v>
      </c>
      <c r="R12" s="182">
        <f t="shared" si="3"/>
        <v>1</v>
      </c>
      <c r="S12" s="181" t="s">
        <v>1161</v>
      </c>
      <c r="T12" s="275">
        <v>20</v>
      </c>
      <c r="U12" s="218"/>
    </row>
    <row r="13" spans="1:21" ht="50.1" customHeight="1" x14ac:dyDescent="0.2">
      <c r="A13" s="176" t="s">
        <v>32</v>
      </c>
      <c r="B13" s="342" t="str">
        <f>VLOOKUP(A13,'2-Inventário de Necessidades'!$A$2:$B$63,2,0)</f>
        <v>INFRAESTRUTURA DE TI</v>
      </c>
      <c r="C13" s="342" t="str">
        <f>VLOOKUP(A13,'2-Inventário de Necessidades'!$A$2:$C$63,3,0)</f>
        <v>Manutenção, ampliação e melhoria da infraestrutura de TI e da 
rede de comunicação</v>
      </c>
      <c r="D13" s="174" t="s">
        <v>1048</v>
      </c>
      <c r="E13" s="177" t="s">
        <v>775</v>
      </c>
      <c r="F13" s="178" t="s">
        <v>220</v>
      </c>
      <c r="G13" s="179">
        <v>1</v>
      </c>
      <c r="H13" s="240" t="str">
        <f t="shared" si="0"/>
        <v>2 a 3 meses</v>
      </c>
      <c r="I13" s="180"/>
      <c r="J13" s="180"/>
      <c r="K13" s="180">
        <v>42401</v>
      </c>
      <c r="L13" s="180">
        <v>42446</v>
      </c>
      <c r="M13" s="240" t="str">
        <f t="shared" ca="1" si="1"/>
        <v>2 meses</v>
      </c>
      <c r="N13" s="179" t="s">
        <v>295</v>
      </c>
      <c r="O13" s="440">
        <f>IF(ISERROR(VLOOKUP(D13,'4-Investimento-Custeio'!$B$3:$I$39,8,0))=TRUE, 0, VLOOKUP(D13,'4-Investimento-Custeio'!$B$3:$I$39,8,0))</f>
        <v>0</v>
      </c>
      <c r="P13" s="175">
        <v>0</v>
      </c>
      <c r="Q13" s="181" t="str">
        <f t="shared" si="2"/>
        <v>Concluído</v>
      </c>
      <c r="R13" s="182">
        <f t="shared" si="3"/>
        <v>1</v>
      </c>
      <c r="S13" s="181" t="s">
        <v>1161</v>
      </c>
      <c r="T13" s="275">
        <v>21</v>
      </c>
      <c r="U13" s="218"/>
    </row>
    <row r="14" spans="1:21" ht="50.1" customHeight="1" x14ac:dyDescent="0.2">
      <c r="A14" s="176" t="s">
        <v>32</v>
      </c>
      <c r="B14" s="342" t="str">
        <f>VLOOKUP(A14,'2-Inventário de Necessidades'!$A$2:$B$63,2,0)</f>
        <v>INFRAESTRUTURA DE TI</v>
      </c>
      <c r="C14" s="342" t="str">
        <f>VLOOKUP(A14,'2-Inventário de Necessidades'!$A$2:$C$63,3,0)</f>
        <v>Manutenção, ampliação e melhoria da infraestrutura de TI e da 
rede de comunicação</v>
      </c>
      <c r="D14" s="174" t="s">
        <v>1044</v>
      </c>
      <c r="E14" s="177" t="s">
        <v>772</v>
      </c>
      <c r="F14" s="178" t="s">
        <v>380</v>
      </c>
      <c r="G14" s="179">
        <v>1</v>
      </c>
      <c r="H14" s="240" t="str">
        <f t="shared" si="0"/>
        <v>2 a 3 meses</v>
      </c>
      <c r="I14" s="180"/>
      <c r="J14" s="180"/>
      <c r="K14" s="180">
        <v>42370</v>
      </c>
      <c r="L14" s="180">
        <v>42401</v>
      </c>
      <c r="M14" s="240" t="str">
        <f t="shared" ca="1" si="1"/>
        <v>2 meses</v>
      </c>
      <c r="N14" s="179" t="s">
        <v>295</v>
      </c>
      <c r="O14" s="440">
        <f>IF(ISERROR(VLOOKUP(D14,'4-Investimento-Custeio'!$B$3:$I$39,8,0))=TRUE, 0, VLOOKUP(D14,'4-Investimento-Custeio'!$B$3:$I$39,8,0))</f>
        <v>0</v>
      </c>
      <c r="P14" s="175">
        <v>0</v>
      </c>
      <c r="Q14" s="181" t="str">
        <f t="shared" si="2"/>
        <v>Concluído</v>
      </c>
      <c r="R14" s="182">
        <f t="shared" si="3"/>
        <v>1</v>
      </c>
      <c r="S14" s="181" t="s">
        <v>1161</v>
      </c>
      <c r="T14" s="275">
        <v>26</v>
      </c>
      <c r="U14" s="218"/>
    </row>
    <row r="15" spans="1:21" ht="50.1" customHeight="1" x14ac:dyDescent="0.2">
      <c r="A15" s="176" t="s">
        <v>32</v>
      </c>
      <c r="B15" s="342" t="str">
        <f>VLOOKUP(A15,'2-Inventário de Necessidades'!$A$2:$B$63,2,0)</f>
        <v>INFRAESTRUTURA DE TI</v>
      </c>
      <c r="C15" s="342" t="str">
        <f>VLOOKUP(A15,'2-Inventário de Necessidades'!$A$2:$C$63,3,0)</f>
        <v>Manutenção, ampliação e melhoria da infraestrutura de TI e da 
rede de comunicação</v>
      </c>
      <c r="D15" s="174" t="s">
        <v>1049</v>
      </c>
      <c r="E15" s="177" t="s">
        <v>773</v>
      </c>
      <c r="F15" s="178" t="s">
        <v>220</v>
      </c>
      <c r="G15" s="179">
        <v>1</v>
      </c>
      <c r="H15" s="240" t="str">
        <f t="shared" si="0"/>
        <v>2 a 3 meses</v>
      </c>
      <c r="I15" s="180"/>
      <c r="J15" s="180"/>
      <c r="K15" s="180">
        <v>42401</v>
      </c>
      <c r="L15" s="180">
        <v>42446</v>
      </c>
      <c r="M15" s="240" t="str">
        <f t="shared" ca="1" si="1"/>
        <v>2 meses</v>
      </c>
      <c r="N15" s="179" t="s">
        <v>295</v>
      </c>
      <c r="O15" s="440">
        <f>IF(ISERROR(VLOOKUP(D15,'4-Investimento-Custeio'!$B$3:$I$39,8,0))=TRUE, 0, VLOOKUP(D15,'4-Investimento-Custeio'!$B$3:$I$39,8,0))</f>
        <v>0</v>
      </c>
      <c r="P15" s="175">
        <v>0</v>
      </c>
      <c r="Q15" s="181" t="str">
        <f t="shared" si="2"/>
        <v>Concluído</v>
      </c>
      <c r="R15" s="182">
        <f t="shared" si="3"/>
        <v>1</v>
      </c>
      <c r="S15" s="181" t="s">
        <v>1161</v>
      </c>
      <c r="T15" s="275">
        <v>27</v>
      </c>
      <c r="U15" s="218"/>
    </row>
    <row r="16" spans="1:21" ht="50.1" customHeight="1" x14ac:dyDescent="0.2">
      <c r="A16" s="176" t="s">
        <v>57</v>
      </c>
      <c r="B16" s="342" t="str">
        <f>VLOOKUP(A16,'2-Inventário de Necessidades'!$A$2:$B$63,2,0)</f>
        <v>SISTEMAS DE INFORMAÇÃO</v>
      </c>
      <c r="C16" s="342" t="str">
        <f>VLOOKUP(A16,'2-Inventário de Necessidades'!$A$2:$C$63,3,0)</f>
        <v>Sustentação e evolução do sistema GPRO</v>
      </c>
      <c r="D16" s="174" t="s">
        <v>1065</v>
      </c>
      <c r="E16" s="177" t="s">
        <v>779</v>
      </c>
      <c r="F16" s="178" t="s">
        <v>380</v>
      </c>
      <c r="G16" s="179">
        <v>2</v>
      </c>
      <c r="H16" s="240" t="str">
        <f t="shared" si="0"/>
        <v>5 a 6 meses</v>
      </c>
      <c r="I16" s="180"/>
      <c r="J16" s="180"/>
      <c r="K16" s="180">
        <v>42370</v>
      </c>
      <c r="L16" s="180">
        <v>42430</v>
      </c>
      <c r="M16" s="240" t="str">
        <f t="shared" ca="1" si="1"/>
        <v>2 meses</v>
      </c>
      <c r="N16" s="179" t="s">
        <v>841</v>
      </c>
      <c r="O16" s="440">
        <f>IF(ISERROR(VLOOKUP(D16,'4-Investimento-Custeio'!$B$3:$I$39,8,0))=TRUE, 0, VLOOKUP(D16,'4-Investimento-Custeio'!$B$3:$I$39,8,0))</f>
        <v>0</v>
      </c>
      <c r="P16" s="175">
        <v>0</v>
      </c>
      <c r="Q16" s="181" t="str">
        <f t="shared" si="2"/>
        <v>Concluído</v>
      </c>
      <c r="R16" s="182">
        <f t="shared" si="3"/>
        <v>1</v>
      </c>
      <c r="S16" s="181" t="s">
        <v>1161</v>
      </c>
      <c r="T16" s="275">
        <v>42</v>
      </c>
      <c r="U16" s="218"/>
    </row>
    <row r="17" spans="1:21" ht="50.1" customHeight="1" x14ac:dyDescent="0.2">
      <c r="A17" s="176" t="s">
        <v>57</v>
      </c>
      <c r="B17" s="342" t="str">
        <f>VLOOKUP(A17,'2-Inventário de Necessidades'!$A$2:$B$63,2,0)</f>
        <v>SISTEMAS DE INFORMAÇÃO</v>
      </c>
      <c r="C17" s="342" t="str">
        <f>VLOOKUP(A17,'2-Inventário de Necessidades'!$A$2:$C$63,3,0)</f>
        <v>Sustentação e evolução do sistema GPRO</v>
      </c>
      <c r="D17" s="174" t="s">
        <v>997</v>
      </c>
      <c r="E17" s="177" t="s">
        <v>796</v>
      </c>
      <c r="F17" s="178" t="s">
        <v>380</v>
      </c>
      <c r="G17" s="179">
        <v>2</v>
      </c>
      <c r="H17" s="240" t="str">
        <f t="shared" si="0"/>
        <v>5 a 6 meses</v>
      </c>
      <c r="I17" s="180"/>
      <c r="J17" s="180"/>
      <c r="K17" s="180">
        <v>42370</v>
      </c>
      <c r="L17" s="180">
        <v>42430</v>
      </c>
      <c r="M17" s="240" t="str">
        <f t="shared" ca="1" si="1"/>
        <v>2 meses</v>
      </c>
      <c r="N17" s="179" t="s">
        <v>841</v>
      </c>
      <c r="O17" s="440">
        <f>IF(ISERROR(VLOOKUP(D17,'4-Investimento-Custeio'!$B$3:$I$39,8,0))=TRUE, 0, VLOOKUP(D17,'4-Investimento-Custeio'!$B$3:$I$39,8,0))</f>
        <v>0</v>
      </c>
      <c r="P17" s="175">
        <v>0</v>
      </c>
      <c r="Q17" s="181" t="str">
        <f t="shared" si="2"/>
        <v>Concluído</v>
      </c>
      <c r="R17" s="182">
        <f t="shared" si="3"/>
        <v>1</v>
      </c>
      <c r="S17" s="181" t="s">
        <v>1161</v>
      </c>
      <c r="T17" s="275">
        <v>43</v>
      </c>
      <c r="U17" s="218"/>
    </row>
    <row r="18" spans="1:21" ht="50.1" customHeight="1" x14ac:dyDescent="0.2">
      <c r="A18" s="176" t="s">
        <v>57</v>
      </c>
      <c r="B18" s="342" t="str">
        <f>VLOOKUP(A18,'2-Inventário de Necessidades'!$A$2:$B$63,2,0)</f>
        <v>SISTEMAS DE INFORMAÇÃO</v>
      </c>
      <c r="C18" s="342" t="str">
        <f>VLOOKUP(A18,'2-Inventário de Necessidades'!$A$2:$C$63,3,0)</f>
        <v>Sustentação e evolução do sistema GPRO</v>
      </c>
      <c r="D18" s="174" t="s">
        <v>1070</v>
      </c>
      <c r="E18" s="177" t="s">
        <v>797</v>
      </c>
      <c r="F18" s="178" t="s">
        <v>380</v>
      </c>
      <c r="G18" s="179">
        <v>2</v>
      </c>
      <c r="H18" s="240" t="str">
        <f t="shared" si="0"/>
        <v>5 a 6 meses</v>
      </c>
      <c r="I18" s="180"/>
      <c r="J18" s="180"/>
      <c r="K18" s="180">
        <v>42370</v>
      </c>
      <c r="L18" s="180">
        <v>42430</v>
      </c>
      <c r="M18" s="240" t="str">
        <f t="shared" ca="1" si="1"/>
        <v>2 meses</v>
      </c>
      <c r="N18" s="179" t="s">
        <v>841</v>
      </c>
      <c r="O18" s="440">
        <f>IF(ISERROR(VLOOKUP(D18,'4-Investimento-Custeio'!$B$3:$I$39,8,0))=TRUE, 0, VLOOKUP(D18,'4-Investimento-Custeio'!$B$3:$I$39,8,0))</f>
        <v>0</v>
      </c>
      <c r="P18" s="175">
        <v>0</v>
      </c>
      <c r="Q18" s="181" t="str">
        <f t="shared" si="2"/>
        <v>Concluído</v>
      </c>
      <c r="R18" s="182">
        <f t="shared" si="3"/>
        <v>1</v>
      </c>
      <c r="S18" s="181" t="s">
        <v>1161</v>
      </c>
      <c r="T18" s="275">
        <v>44</v>
      </c>
      <c r="U18" s="218"/>
    </row>
    <row r="19" spans="1:21" ht="50.1" customHeight="1" x14ac:dyDescent="0.2">
      <c r="A19" s="176" t="s">
        <v>68</v>
      </c>
      <c r="B19" s="342" t="str">
        <f>VLOOKUP(A19,'2-Inventário de Necessidades'!$A$2:$B$63,2,0)</f>
        <v>GOVERNANÇA E GESTÃO DE TI</v>
      </c>
      <c r="C19" s="342" t="str">
        <f>VLOOKUP(A19,'2-Inventário de Necessidades'!$A$2:$C$63,3,0)</f>
        <v>Acompanhamento e transparência na execução das ações constantes no PDTI</v>
      </c>
      <c r="D19" s="174" t="s">
        <v>1032</v>
      </c>
      <c r="E19" s="177" t="s">
        <v>69</v>
      </c>
      <c r="F19" s="178" t="s">
        <v>220</v>
      </c>
      <c r="G19" s="179">
        <v>1</v>
      </c>
      <c r="H19" s="240" t="str">
        <f t="shared" si="0"/>
        <v>4 meses</v>
      </c>
      <c r="I19" s="180">
        <v>42278</v>
      </c>
      <c r="J19" s="180">
        <v>42370</v>
      </c>
      <c r="K19" s="180">
        <v>42461</v>
      </c>
      <c r="L19" s="180">
        <v>42461</v>
      </c>
      <c r="M19" s="240" t="str">
        <f t="shared" ca="1" si="1"/>
        <v>0 meses</v>
      </c>
      <c r="N19" s="179" t="s">
        <v>295</v>
      </c>
      <c r="O19" s="440">
        <f>IF(ISERROR(VLOOKUP(D19,'4-Investimento-Custeio'!$B$3:$I$39,8,0))=TRUE, 0, VLOOKUP(D19,'4-Investimento-Custeio'!$B$3:$I$39,8,0))</f>
        <v>0</v>
      </c>
      <c r="P19" s="175">
        <v>0</v>
      </c>
      <c r="Q19" s="181" t="str">
        <f t="shared" si="2"/>
        <v>Concluído</v>
      </c>
      <c r="R19" s="182">
        <f t="shared" si="3"/>
        <v>1</v>
      </c>
      <c r="S19" s="181" t="s">
        <v>1161</v>
      </c>
      <c r="T19" s="275">
        <v>52</v>
      </c>
      <c r="U19" s="218"/>
    </row>
    <row r="20" spans="1:21" ht="50.1" customHeight="1" x14ac:dyDescent="0.2">
      <c r="A20" s="176" t="s">
        <v>83</v>
      </c>
      <c r="B20" s="342" t="str">
        <f>VLOOKUP(A20,'2-Inventário de Necessidades'!$A$2:$B$63,2,0)</f>
        <v>GOVERNANÇA E GESTÃO DE TI</v>
      </c>
      <c r="C20" s="342" t="str">
        <f>VLOOKUP(A20,'2-Inventário de Necessidades'!$A$2:$C$63,3,0)</f>
        <v>Implantação da Gestão de Segurança da Informação</v>
      </c>
      <c r="D20" s="174" t="s">
        <v>987</v>
      </c>
      <c r="E20" s="177" t="s">
        <v>817</v>
      </c>
      <c r="F20" s="178" t="s">
        <v>220</v>
      </c>
      <c r="G20" s="179">
        <v>1</v>
      </c>
      <c r="H20" s="240" t="str">
        <f t="shared" si="0"/>
        <v>2 a 3 meses</v>
      </c>
      <c r="I20" s="180"/>
      <c r="J20" s="180"/>
      <c r="K20" s="180">
        <v>42430</v>
      </c>
      <c r="L20" s="180">
        <v>42461</v>
      </c>
      <c r="M20" s="240" t="str">
        <f t="shared" ca="1" si="1"/>
        <v>2 meses</v>
      </c>
      <c r="N20" s="179" t="s">
        <v>841</v>
      </c>
      <c r="O20" s="440">
        <f>IF(ISERROR(VLOOKUP(D20,'4-Investimento-Custeio'!$B$3:$I$39,8,0))=TRUE, 0, VLOOKUP(D20,'4-Investimento-Custeio'!$B$3:$I$39,8,0))</f>
        <v>0</v>
      </c>
      <c r="P20" s="175">
        <v>0</v>
      </c>
      <c r="Q20" s="181" t="str">
        <f t="shared" si="2"/>
        <v>Concluído</v>
      </c>
      <c r="R20" s="182">
        <f t="shared" si="3"/>
        <v>1</v>
      </c>
      <c r="S20" s="181" t="s">
        <v>1161</v>
      </c>
      <c r="T20" s="275">
        <v>63</v>
      </c>
      <c r="U20" s="218"/>
    </row>
    <row r="21" spans="1:21" ht="50.1" customHeight="1" x14ac:dyDescent="0.2">
      <c r="A21" s="176" t="s">
        <v>92</v>
      </c>
      <c r="B21" s="342" t="str">
        <f>VLOOKUP(A21,'2-Inventário de Necessidades'!$A$2:$B$63,2,0)</f>
        <v>SISTEMAS DE INFORMAÇÃO</v>
      </c>
      <c r="C21" s="342" t="str">
        <f>VLOOKUP(A21,'2-Inventário de Necessidades'!$A$2:$C$63,3,0)</f>
        <v>Implantação do novo sistema para atender ao artigo 30 da CE.</v>
      </c>
      <c r="D21" s="174" t="s">
        <v>994</v>
      </c>
      <c r="E21" s="177" t="s">
        <v>786</v>
      </c>
      <c r="F21" s="178" t="s">
        <v>380</v>
      </c>
      <c r="G21" s="179">
        <v>1</v>
      </c>
      <c r="H21" s="240" t="str">
        <f t="shared" si="0"/>
        <v>2 meses</v>
      </c>
      <c r="I21" s="180">
        <v>42370</v>
      </c>
      <c r="J21" s="180">
        <v>42430</v>
      </c>
      <c r="K21" s="180">
        <v>42401</v>
      </c>
      <c r="L21" s="180">
        <v>42430</v>
      </c>
      <c r="M21" s="240" t="str">
        <f t="shared" ca="1" si="1"/>
        <v>1 meses</v>
      </c>
      <c r="N21" s="179" t="s">
        <v>841</v>
      </c>
      <c r="O21" s="440">
        <f>IF(ISERROR(VLOOKUP(D21,'4-Investimento-Custeio'!$B$3:$I$39,8,0))=TRUE, 0, VLOOKUP(D21,'4-Investimento-Custeio'!$B$3:$I$39,8,0))</f>
        <v>0</v>
      </c>
      <c r="P21" s="175">
        <v>0</v>
      </c>
      <c r="Q21" s="181" t="str">
        <f t="shared" si="2"/>
        <v>Concluído</v>
      </c>
      <c r="R21" s="182">
        <f t="shared" si="3"/>
        <v>1</v>
      </c>
      <c r="S21" s="181" t="s">
        <v>1161</v>
      </c>
      <c r="T21" s="275">
        <v>67</v>
      </c>
      <c r="U21" s="218"/>
    </row>
    <row r="22" spans="1:21" ht="50.1" customHeight="1" x14ac:dyDescent="0.2">
      <c r="A22" s="176" t="s">
        <v>117</v>
      </c>
      <c r="B22" s="342" t="str">
        <f>VLOOKUP(A22,'2-Inventário de Necessidades'!$A$2:$B$63,2,0)</f>
        <v>SISTEMAS DE INFORMAÇÃO</v>
      </c>
      <c r="C22" s="342" t="str">
        <f>VLOOKUP(A22,'2-Inventário de Necessidades'!$A$2:$C$63,3,0)</f>
        <v>Aprimoramento dos serviços do portal institucional do TCE-GO</v>
      </c>
      <c r="D22" s="174" t="s">
        <v>998</v>
      </c>
      <c r="E22" s="177" t="s">
        <v>806</v>
      </c>
      <c r="F22" s="178" t="s">
        <v>380</v>
      </c>
      <c r="G22" s="179">
        <v>2</v>
      </c>
      <c r="H22" s="240" t="str">
        <f t="shared" si="0"/>
        <v>5 a 6 meses</v>
      </c>
      <c r="I22" s="180"/>
      <c r="J22" s="180"/>
      <c r="K22" s="180">
        <v>42370</v>
      </c>
      <c r="L22" s="180">
        <v>42430</v>
      </c>
      <c r="M22" s="240" t="str">
        <f t="shared" ca="1" si="1"/>
        <v>2 meses</v>
      </c>
      <c r="N22" s="179" t="s">
        <v>841</v>
      </c>
      <c r="O22" s="440">
        <f>IF(ISERROR(VLOOKUP(D22,'4-Investimento-Custeio'!$B$3:$I$39,8,0))=TRUE, 0, VLOOKUP(D22,'4-Investimento-Custeio'!$B$3:$I$39,8,0))</f>
        <v>0</v>
      </c>
      <c r="P22" s="175">
        <v>0</v>
      </c>
      <c r="Q22" s="181" t="str">
        <f t="shared" si="2"/>
        <v>Concluído</v>
      </c>
      <c r="R22" s="182">
        <f t="shared" si="3"/>
        <v>1</v>
      </c>
      <c r="S22" s="181" t="s">
        <v>1161</v>
      </c>
      <c r="T22" s="275">
        <v>88</v>
      </c>
      <c r="U22" s="218"/>
    </row>
    <row r="23" spans="1:21" ht="50.1" customHeight="1" x14ac:dyDescent="0.2">
      <c r="A23" s="176" t="s">
        <v>175</v>
      </c>
      <c r="B23" s="342" t="str">
        <f>VLOOKUP(A23,'2-Inventário de Necessidades'!$A$2:$B$63,2,0)</f>
        <v>SERVIÇOS DE TI</v>
      </c>
      <c r="C23" s="342" t="str">
        <f>VLOOKUP(A23,'2-Inventário de Necessidades'!$A$2:$C$63,3,0)</f>
        <v>Definição de Padrões de TI (Arquitetura, Código, BD) e documentá-los (elaborar/revisar Manuais de Sistemas, Guias)</v>
      </c>
      <c r="D23" s="174" t="s">
        <v>993</v>
      </c>
      <c r="E23" s="177" t="s">
        <v>177</v>
      </c>
      <c r="F23" s="178" t="s">
        <v>825</v>
      </c>
      <c r="G23" s="179">
        <v>2</v>
      </c>
      <c r="H23" s="240" t="str">
        <f t="shared" si="0"/>
        <v>5 a 6 meses</v>
      </c>
      <c r="I23" s="180"/>
      <c r="J23" s="180"/>
      <c r="K23" s="180">
        <v>42278</v>
      </c>
      <c r="L23" s="180">
        <v>42370</v>
      </c>
      <c r="M23" s="240" t="str">
        <f t="shared" ca="1" si="1"/>
        <v>4 meses</v>
      </c>
      <c r="N23" s="179" t="s">
        <v>295</v>
      </c>
      <c r="O23" s="440">
        <f>IF(ISERROR(VLOOKUP(D23,'4-Investimento-Custeio'!$B$3:$I$39,8,0))=TRUE, 0, VLOOKUP(D23,'4-Investimento-Custeio'!$B$3:$I$39,8,0))</f>
        <v>0</v>
      </c>
      <c r="P23" s="175">
        <v>0</v>
      </c>
      <c r="Q23" s="181" t="str">
        <f t="shared" si="2"/>
        <v>Concluído</v>
      </c>
      <c r="R23" s="182">
        <f t="shared" si="3"/>
        <v>1</v>
      </c>
      <c r="S23" s="181" t="s">
        <v>1161</v>
      </c>
      <c r="T23" s="275">
        <v>121</v>
      </c>
      <c r="U23" s="218"/>
    </row>
    <row r="24" spans="1:21" ht="50.1" customHeight="1" x14ac:dyDescent="0.2">
      <c r="A24" s="176" t="s">
        <v>175</v>
      </c>
      <c r="B24" s="342" t="str">
        <f>VLOOKUP(A24,'2-Inventário de Necessidades'!$A$2:$B$63,2,0)</f>
        <v>SERVIÇOS DE TI</v>
      </c>
      <c r="C24" s="342" t="str">
        <f>VLOOKUP(A24,'2-Inventário de Necessidades'!$A$2:$C$63,3,0)</f>
        <v>Definição de Padrões de TI (Arquitetura, Código, BD) e documentá-los (elaborar/revisar Manuais de Sistemas, Guias)</v>
      </c>
      <c r="D24" s="174" t="s">
        <v>1034</v>
      </c>
      <c r="E24" s="177" t="s">
        <v>810</v>
      </c>
      <c r="F24" s="178" t="s">
        <v>380</v>
      </c>
      <c r="G24" s="179">
        <v>2</v>
      </c>
      <c r="H24" s="240" t="str">
        <f t="shared" si="0"/>
        <v>5 a 6 meses</v>
      </c>
      <c r="I24" s="180"/>
      <c r="J24" s="180"/>
      <c r="K24" s="180">
        <v>42278</v>
      </c>
      <c r="L24" s="180">
        <v>42430</v>
      </c>
      <c r="M24" s="240" t="str">
        <f t="shared" ca="1" si="1"/>
        <v>6 meses</v>
      </c>
      <c r="N24" s="179" t="s">
        <v>295</v>
      </c>
      <c r="O24" s="440">
        <f>IF(ISERROR(VLOOKUP(D24,'4-Investimento-Custeio'!$B$3:$I$39,8,0))=TRUE, 0, VLOOKUP(D24,'4-Investimento-Custeio'!$B$3:$I$39,8,0))</f>
        <v>0</v>
      </c>
      <c r="P24" s="175">
        <v>0</v>
      </c>
      <c r="Q24" s="181" t="str">
        <f t="shared" si="2"/>
        <v>Concluído</v>
      </c>
      <c r="R24" s="182">
        <f t="shared" si="3"/>
        <v>1</v>
      </c>
      <c r="S24" s="181" t="s">
        <v>1161</v>
      </c>
      <c r="T24" s="275">
        <v>122</v>
      </c>
      <c r="U24" s="218"/>
    </row>
    <row r="25" spans="1:21" ht="50.1" customHeight="1" x14ac:dyDescent="0.2">
      <c r="A25" s="176" t="s">
        <v>180</v>
      </c>
      <c r="B25" s="342" t="str">
        <f>VLOOKUP(A25,'2-Inventário de Necessidades'!$A$2:$B$63,2,0)</f>
        <v>SISTEMAS DE INFORMAÇÃO</v>
      </c>
      <c r="C25" s="342" t="str">
        <f>VLOOKUP(A25,'2-Inventário de Necessidades'!$A$2:$C$63,3,0)</f>
        <v>Desenvolver solução para solicitação de diárias</v>
      </c>
      <c r="D25" s="174" t="s">
        <v>1086</v>
      </c>
      <c r="E25" s="177" t="s">
        <v>790</v>
      </c>
      <c r="F25" s="178" t="s">
        <v>380</v>
      </c>
      <c r="G25" s="179">
        <v>2</v>
      </c>
      <c r="H25" s="240" t="str">
        <f t="shared" si="0"/>
        <v>5 a 6 meses</v>
      </c>
      <c r="I25" s="180"/>
      <c r="J25" s="180"/>
      <c r="K25" s="180">
        <v>42430</v>
      </c>
      <c r="L25" s="180">
        <v>42461</v>
      </c>
      <c r="M25" s="240" t="str">
        <f t="shared" ca="1" si="1"/>
        <v>2 meses</v>
      </c>
      <c r="N25" s="179" t="s">
        <v>841</v>
      </c>
      <c r="O25" s="440">
        <f>IF(ISERROR(VLOOKUP(D25,'4-Investimento-Custeio'!$B$3:$I$39,8,0))=TRUE, 0, VLOOKUP(D25,'4-Investimento-Custeio'!$B$3:$I$39,8,0))</f>
        <v>0</v>
      </c>
      <c r="P25" s="175">
        <v>0</v>
      </c>
      <c r="Q25" s="181" t="str">
        <f t="shared" si="2"/>
        <v>Concluído</v>
      </c>
      <c r="R25" s="182">
        <f t="shared" si="3"/>
        <v>1</v>
      </c>
      <c r="S25" s="181" t="s">
        <v>1161</v>
      </c>
      <c r="T25" s="275">
        <v>125</v>
      </c>
      <c r="U25" s="218"/>
    </row>
    <row r="26" spans="1:21" ht="50.1" customHeight="1" x14ac:dyDescent="0.2">
      <c r="A26" s="176" t="s">
        <v>190</v>
      </c>
      <c r="B26" s="342" t="str">
        <f>VLOOKUP(A26,'2-Inventário de Necessidades'!$A$2:$B$63,2,0)</f>
        <v>SISTEMAS DE INFORMAÇÃO</v>
      </c>
      <c r="C26" s="342" t="str">
        <f>VLOOKUP(A26,'2-Inventário de Necessidades'!$A$2:$C$63,3,0)</f>
        <v>Viabilização de solução para gestão do conhecimento</v>
      </c>
      <c r="D26" s="174" t="s">
        <v>1063</v>
      </c>
      <c r="E26" s="177" t="s">
        <v>828</v>
      </c>
      <c r="F26" s="178" t="s">
        <v>380</v>
      </c>
      <c r="G26" s="179">
        <v>2</v>
      </c>
      <c r="H26" s="240" t="str">
        <f t="shared" si="0"/>
        <v>5 a 6 meses</v>
      </c>
      <c r="I26" s="180"/>
      <c r="J26" s="180"/>
      <c r="K26" s="180">
        <v>42309</v>
      </c>
      <c r="L26" s="180">
        <v>42370</v>
      </c>
      <c r="M26" s="240" t="str">
        <f t="shared" ca="1" si="1"/>
        <v>3 meses</v>
      </c>
      <c r="N26" s="179" t="s">
        <v>295</v>
      </c>
      <c r="O26" s="440">
        <f>IF(ISERROR(VLOOKUP(D26,'4-Investimento-Custeio'!$B$3:$I$39,8,0))=TRUE, 0, VLOOKUP(D26,'4-Investimento-Custeio'!$B$3:$I$39,8,0))</f>
        <v>0</v>
      </c>
      <c r="P26" s="175">
        <v>0</v>
      </c>
      <c r="Q26" s="181" t="str">
        <f t="shared" si="2"/>
        <v>Concluído</v>
      </c>
      <c r="R26" s="182">
        <f t="shared" si="3"/>
        <v>1</v>
      </c>
      <c r="S26" s="181" t="s">
        <v>1161</v>
      </c>
      <c r="T26" s="275">
        <v>131</v>
      </c>
      <c r="U26" s="218"/>
    </row>
    <row r="27" spans="1:21" ht="50.1" customHeight="1" x14ac:dyDescent="0.2">
      <c r="A27" s="176" t="s">
        <v>195</v>
      </c>
      <c r="B27" s="342" t="str">
        <f>VLOOKUP(A27,'2-Inventário de Necessidades'!$A$2:$B$63,2,0)</f>
        <v>SISTEMAS DE INFORMAÇÃO</v>
      </c>
      <c r="C27" s="342" t="str">
        <f>VLOOKUP(A27,'2-Inventário de Necessidades'!$A$2:$C$63,3,0)</f>
        <v>Desenvolvimento de solução de gestão da manutenção predial</v>
      </c>
      <c r="D27" s="174" t="s">
        <v>992</v>
      </c>
      <c r="E27" s="177" t="s">
        <v>829</v>
      </c>
      <c r="F27" s="178" t="s">
        <v>380</v>
      </c>
      <c r="G27" s="179">
        <v>1</v>
      </c>
      <c r="H27" s="240" t="str">
        <f t="shared" si="0"/>
        <v>3 meses</v>
      </c>
      <c r="I27" s="180">
        <v>42339</v>
      </c>
      <c r="J27" s="180">
        <v>42401</v>
      </c>
      <c r="K27" s="180">
        <v>42370</v>
      </c>
      <c r="L27" s="180">
        <v>42430</v>
      </c>
      <c r="M27" s="240" t="str">
        <f t="shared" ca="1" si="1"/>
        <v>2 meses</v>
      </c>
      <c r="N27" s="179" t="s">
        <v>841</v>
      </c>
      <c r="O27" s="440">
        <f>IF(ISERROR(VLOOKUP(D27,'4-Investimento-Custeio'!$B$3:$I$39,8,0))=TRUE, 0, VLOOKUP(D27,'4-Investimento-Custeio'!$B$3:$I$39,8,0))</f>
        <v>0</v>
      </c>
      <c r="P27" s="175">
        <v>0</v>
      </c>
      <c r="Q27" s="181" t="str">
        <f t="shared" si="2"/>
        <v>Concluído</v>
      </c>
      <c r="R27" s="182">
        <f t="shared" si="3"/>
        <v>1</v>
      </c>
      <c r="S27" s="181" t="s">
        <v>1161</v>
      </c>
      <c r="T27" s="275">
        <v>133</v>
      </c>
      <c r="U27" s="218"/>
    </row>
    <row r="28" spans="1:21" ht="50.1" customHeight="1" x14ac:dyDescent="0.2">
      <c r="A28" s="176" t="s">
        <v>195</v>
      </c>
      <c r="B28" s="342" t="str">
        <f>VLOOKUP(A28,'2-Inventário de Necessidades'!$A$2:$B$63,2,0)</f>
        <v>SISTEMAS DE INFORMAÇÃO</v>
      </c>
      <c r="C28" s="342" t="str">
        <f>VLOOKUP(A28,'2-Inventário de Necessidades'!$A$2:$C$63,3,0)</f>
        <v>Desenvolvimento de solução de gestão da manutenção predial</v>
      </c>
      <c r="D28" s="174" t="s">
        <v>1019</v>
      </c>
      <c r="E28" s="177" t="s">
        <v>197</v>
      </c>
      <c r="F28" s="178" t="s">
        <v>380</v>
      </c>
      <c r="G28" s="179">
        <v>1</v>
      </c>
      <c r="H28" s="240" t="str">
        <f t="shared" si="0"/>
        <v>3 meses</v>
      </c>
      <c r="I28" s="180">
        <v>42339</v>
      </c>
      <c r="J28" s="180">
        <v>42401</v>
      </c>
      <c r="K28" s="180">
        <v>42370</v>
      </c>
      <c r="L28" s="180">
        <v>42430</v>
      </c>
      <c r="M28" s="240" t="str">
        <f t="shared" ca="1" si="1"/>
        <v>2 meses</v>
      </c>
      <c r="N28" s="179" t="s">
        <v>841</v>
      </c>
      <c r="O28" s="440">
        <f>IF(ISERROR(VLOOKUP(D28,'4-Investimento-Custeio'!$B$3:$I$39,8,0))=TRUE, 0, VLOOKUP(D28,'4-Investimento-Custeio'!$B$3:$I$39,8,0))</f>
        <v>0</v>
      </c>
      <c r="P28" s="175">
        <v>0</v>
      </c>
      <c r="Q28" s="181" t="str">
        <f t="shared" si="2"/>
        <v>Concluído</v>
      </c>
      <c r="R28" s="182">
        <f t="shared" si="3"/>
        <v>1</v>
      </c>
      <c r="S28" s="181" t="s">
        <v>1161</v>
      </c>
      <c r="T28" s="275">
        <v>134</v>
      </c>
      <c r="U28" s="218"/>
    </row>
    <row r="29" spans="1:21" ht="50.1" customHeight="1" x14ac:dyDescent="0.2">
      <c r="A29" s="176" t="s">
        <v>198</v>
      </c>
      <c r="B29" s="342" t="str">
        <f>VLOOKUP(A29,'2-Inventário de Necessidades'!$A$2:$B$63,2,0)</f>
        <v>INFRAESTRUTURA DE TI</v>
      </c>
      <c r="C29" s="342" t="str">
        <f>VLOOKUP(A29,'2-Inventário de Necessidades'!$A$2:$C$63,3,0)</f>
        <v>Viabilização de infraestrutura para produção de conteúdo de vídeo e transmissão das Sessões Plenárias</v>
      </c>
      <c r="D29" s="174" t="s">
        <v>200</v>
      </c>
      <c r="E29" s="177" t="s">
        <v>830</v>
      </c>
      <c r="F29" s="178" t="s">
        <v>825</v>
      </c>
      <c r="G29" s="179">
        <v>1</v>
      </c>
      <c r="H29" s="240" t="str">
        <f t="shared" si="0"/>
        <v>2 a 3 meses</v>
      </c>
      <c r="I29" s="180"/>
      <c r="J29" s="180"/>
      <c r="K29" s="180">
        <v>42401</v>
      </c>
      <c r="L29" s="180">
        <v>42430</v>
      </c>
      <c r="M29" s="240" t="str">
        <f t="shared" ca="1" si="1"/>
        <v>1 meses</v>
      </c>
      <c r="N29" s="179" t="s">
        <v>296</v>
      </c>
      <c r="O29" s="440">
        <f>IF(ISERROR(VLOOKUP(D29,'4-Investimento-Custeio'!$B$3:$I$39,8,0))=TRUE, 0, VLOOKUP(D29,'4-Investimento-Custeio'!$B$3:$I$39,8,0))</f>
        <v>20000</v>
      </c>
      <c r="P29" s="175">
        <v>0</v>
      </c>
      <c r="Q29" s="181" t="str">
        <f t="shared" si="2"/>
        <v>Concluído</v>
      </c>
      <c r="R29" s="182">
        <f t="shared" si="3"/>
        <v>1</v>
      </c>
      <c r="S29" s="181" t="s">
        <v>1161</v>
      </c>
      <c r="T29" s="275">
        <v>136</v>
      </c>
      <c r="U29" s="218"/>
    </row>
    <row r="30" spans="1:21" ht="50.1" customHeight="1" x14ac:dyDescent="0.2">
      <c r="A30" s="176" t="s">
        <v>284</v>
      </c>
      <c r="B30" s="342" t="str">
        <f>VLOOKUP(A30,'2-Inventário de Necessidades'!$A$2:$B$63,2,0)</f>
        <v>SERVIÇOS DE TI</v>
      </c>
      <c r="C30" s="342" t="str">
        <f>VLOOKUP(A30,'2-Inventário de Necessidades'!$A$2:$C$63,3,0)</f>
        <v>Ajustar sistemas internos às necessidades do usuários.</v>
      </c>
      <c r="D30" s="174" t="s">
        <v>980</v>
      </c>
      <c r="E30" s="177" t="s">
        <v>793</v>
      </c>
      <c r="F30" s="178" t="s">
        <v>380</v>
      </c>
      <c r="G30" s="179">
        <v>12</v>
      </c>
      <c r="H30" s="240" t="str">
        <f t="shared" si="0"/>
        <v>Superior a 3 ano(s)</v>
      </c>
      <c r="I30" s="180"/>
      <c r="J30" s="180"/>
      <c r="K30" s="180">
        <v>42370</v>
      </c>
      <c r="L30" s="180">
        <v>42430</v>
      </c>
      <c r="M30" s="240" t="str">
        <f t="shared" ca="1" si="1"/>
        <v>2 meses</v>
      </c>
      <c r="N30" s="179" t="s">
        <v>841</v>
      </c>
      <c r="O30" s="440">
        <f>IF(ISERROR(VLOOKUP(D30,'4-Investimento-Custeio'!$B$3:$I$39,8,0))=TRUE, 0, VLOOKUP(D30,'4-Investimento-Custeio'!$B$3:$I$39,8,0))</f>
        <v>0</v>
      </c>
      <c r="P30" s="175">
        <v>0</v>
      </c>
      <c r="Q30" s="181" t="str">
        <f t="shared" si="2"/>
        <v>Concluído</v>
      </c>
      <c r="R30" s="182">
        <f t="shared" si="3"/>
        <v>1</v>
      </c>
      <c r="S30" s="181" t="s">
        <v>1161</v>
      </c>
      <c r="T30" s="275">
        <v>140</v>
      </c>
      <c r="U30" s="218"/>
    </row>
    <row r="31" spans="1:21" ht="50.1" customHeight="1" x14ac:dyDescent="0.2">
      <c r="A31" s="176" t="s">
        <v>284</v>
      </c>
      <c r="B31" s="342" t="str">
        <f>VLOOKUP(A31,'2-Inventário de Necessidades'!$A$2:$B$63,2,0)</f>
        <v>SERVIÇOS DE TI</v>
      </c>
      <c r="C31" s="342" t="str">
        <f>VLOOKUP(A31,'2-Inventário de Necessidades'!$A$2:$C$63,3,0)</f>
        <v>Ajustar sistemas internos às necessidades do usuários.</v>
      </c>
      <c r="D31" s="174" t="s">
        <v>1035</v>
      </c>
      <c r="E31" s="177" t="s">
        <v>794</v>
      </c>
      <c r="F31" s="178" t="s">
        <v>380</v>
      </c>
      <c r="G31" s="179">
        <v>12</v>
      </c>
      <c r="H31" s="240" t="str">
        <f t="shared" si="0"/>
        <v>Superior a 3 ano(s)</v>
      </c>
      <c r="I31" s="180"/>
      <c r="J31" s="180"/>
      <c r="K31" s="180">
        <v>42370</v>
      </c>
      <c r="L31" s="180">
        <v>42430</v>
      </c>
      <c r="M31" s="240" t="str">
        <f t="shared" ca="1" si="1"/>
        <v>2 meses</v>
      </c>
      <c r="N31" s="179" t="s">
        <v>841</v>
      </c>
      <c r="O31" s="440">
        <f>IF(ISERROR(VLOOKUP(D31,'4-Investimento-Custeio'!$B$3:$I$39,8,0))=TRUE, 0, VLOOKUP(D31,'4-Investimento-Custeio'!$B$3:$I$39,8,0))</f>
        <v>0</v>
      </c>
      <c r="P31" s="175">
        <v>0</v>
      </c>
      <c r="Q31" s="181" t="str">
        <f t="shared" si="2"/>
        <v>Concluído</v>
      </c>
      <c r="R31" s="182">
        <f t="shared" si="3"/>
        <v>1</v>
      </c>
      <c r="S31" s="181" t="s">
        <v>1161</v>
      </c>
      <c r="T31" s="275">
        <v>141</v>
      </c>
      <c r="U31" s="218"/>
    </row>
    <row r="32" spans="1:21" ht="50.1" customHeight="1" x14ac:dyDescent="0.2">
      <c r="A32" s="176" t="s">
        <v>284</v>
      </c>
      <c r="B32" s="342" t="str">
        <f>VLOOKUP(A32,'2-Inventário de Necessidades'!$A$2:$B$63,2,0)</f>
        <v>SERVIÇOS DE TI</v>
      </c>
      <c r="C32" s="342" t="str">
        <f>VLOOKUP(A32,'2-Inventário de Necessidades'!$A$2:$C$63,3,0)</f>
        <v>Ajustar sistemas internos às necessidades do usuários.</v>
      </c>
      <c r="D32" s="174" t="s">
        <v>978</v>
      </c>
      <c r="E32" s="177" t="s">
        <v>795</v>
      </c>
      <c r="F32" s="178" t="s">
        <v>380</v>
      </c>
      <c r="G32" s="179">
        <v>12</v>
      </c>
      <c r="H32" s="240" t="str">
        <f t="shared" si="0"/>
        <v>Superior a 3 ano(s)</v>
      </c>
      <c r="I32" s="180"/>
      <c r="J32" s="180"/>
      <c r="K32" s="180">
        <v>42370</v>
      </c>
      <c r="L32" s="180">
        <v>42430</v>
      </c>
      <c r="M32" s="240" t="str">
        <f t="shared" ca="1" si="1"/>
        <v>2 meses</v>
      </c>
      <c r="N32" s="179" t="s">
        <v>841</v>
      </c>
      <c r="O32" s="440">
        <f>IF(ISERROR(VLOOKUP(D32,'4-Investimento-Custeio'!$B$3:$I$39,8,0))=TRUE, 0, VLOOKUP(D32,'4-Investimento-Custeio'!$B$3:$I$39,8,0))</f>
        <v>0</v>
      </c>
      <c r="P32" s="175">
        <v>0</v>
      </c>
      <c r="Q32" s="181" t="str">
        <f t="shared" si="2"/>
        <v>Concluído</v>
      </c>
      <c r="R32" s="182">
        <f t="shared" si="3"/>
        <v>1</v>
      </c>
      <c r="S32" s="181" t="s">
        <v>1161</v>
      </c>
      <c r="T32" s="275">
        <v>142</v>
      </c>
      <c r="U32" s="218"/>
    </row>
    <row r="33" spans="1:21" ht="50.1" customHeight="1" x14ac:dyDescent="0.2">
      <c r="A33" s="176" t="s">
        <v>284</v>
      </c>
      <c r="B33" s="342" t="str">
        <f>VLOOKUP(A33,'2-Inventário de Necessidades'!$A$2:$B$63,2,0)</f>
        <v>SERVIÇOS DE TI</v>
      </c>
      <c r="C33" s="342" t="str">
        <f>VLOOKUP(A33,'2-Inventário de Necessidades'!$A$2:$C$63,3,0)</f>
        <v>Ajustar sistemas internos às necessidades do usuários.</v>
      </c>
      <c r="D33" s="174" t="s">
        <v>981</v>
      </c>
      <c r="E33" s="177" t="s">
        <v>798</v>
      </c>
      <c r="F33" s="178" t="s">
        <v>380</v>
      </c>
      <c r="G33" s="179">
        <v>12</v>
      </c>
      <c r="H33" s="240" t="str">
        <f t="shared" si="0"/>
        <v>Superior a 3 ano(s)</v>
      </c>
      <c r="I33" s="180"/>
      <c r="J33" s="180"/>
      <c r="K33" s="180">
        <v>42370</v>
      </c>
      <c r="L33" s="180">
        <v>42430</v>
      </c>
      <c r="M33" s="240" t="str">
        <f t="shared" ca="1" si="1"/>
        <v>2 meses</v>
      </c>
      <c r="N33" s="179" t="s">
        <v>841</v>
      </c>
      <c r="O33" s="440">
        <f>IF(ISERROR(VLOOKUP(D33,'4-Investimento-Custeio'!$B$3:$I$39,8,0))=TRUE, 0, VLOOKUP(D33,'4-Investimento-Custeio'!$B$3:$I$39,8,0))</f>
        <v>0</v>
      </c>
      <c r="P33" s="175">
        <v>0</v>
      </c>
      <c r="Q33" s="181" t="str">
        <f t="shared" si="2"/>
        <v>Concluído</v>
      </c>
      <c r="R33" s="182">
        <f t="shared" si="3"/>
        <v>1</v>
      </c>
      <c r="S33" s="181" t="s">
        <v>1161</v>
      </c>
      <c r="T33" s="275">
        <v>143</v>
      </c>
      <c r="U33" s="218"/>
    </row>
    <row r="34" spans="1:21" ht="50.1" customHeight="1" x14ac:dyDescent="0.2">
      <c r="A34" s="176" t="s">
        <v>284</v>
      </c>
      <c r="B34" s="342" t="str">
        <f>VLOOKUP(A34,'2-Inventário de Necessidades'!$A$2:$B$63,2,0)</f>
        <v>SERVIÇOS DE TI</v>
      </c>
      <c r="C34" s="342" t="str">
        <f>VLOOKUP(A34,'2-Inventário de Necessidades'!$A$2:$C$63,3,0)</f>
        <v>Ajustar sistemas internos às necessidades do usuários.</v>
      </c>
      <c r="D34" s="174" t="s">
        <v>1040</v>
      </c>
      <c r="E34" s="177" t="s">
        <v>799</v>
      </c>
      <c r="F34" s="178" t="s">
        <v>380</v>
      </c>
      <c r="G34" s="179">
        <v>12</v>
      </c>
      <c r="H34" s="240" t="str">
        <f t="shared" si="0"/>
        <v>Superior a 3 ano(s)</v>
      </c>
      <c r="I34" s="180"/>
      <c r="J34" s="180"/>
      <c r="K34" s="180">
        <v>42370</v>
      </c>
      <c r="L34" s="180">
        <v>42430</v>
      </c>
      <c r="M34" s="240" t="str">
        <f t="shared" ca="1" si="1"/>
        <v>2 meses</v>
      </c>
      <c r="N34" s="179" t="s">
        <v>841</v>
      </c>
      <c r="O34" s="440">
        <f>IF(ISERROR(VLOOKUP(D34,'4-Investimento-Custeio'!$B$3:$I$39,8,0))=TRUE, 0, VLOOKUP(D34,'4-Investimento-Custeio'!$B$3:$I$39,8,0))</f>
        <v>0</v>
      </c>
      <c r="P34" s="175">
        <v>0</v>
      </c>
      <c r="Q34" s="181" t="str">
        <f t="shared" si="2"/>
        <v>Concluído</v>
      </c>
      <c r="R34" s="182">
        <f t="shared" si="3"/>
        <v>1</v>
      </c>
      <c r="S34" s="181" t="s">
        <v>1161</v>
      </c>
      <c r="T34" s="275">
        <v>144</v>
      </c>
      <c r="U34" s="218"/>
    </row>
    <row r="35" spans="1:21" ht="50.1" customHeight="1" x14ac:dyDescent="0.2">
      <c r="A35" s="176" t="s">
        <v>284</v>
      </c>
      <c r="B35" s="342" t="str">
        <f>VLOOKUP(A35,'2-Inventário de Necessidades'!$A$2:$B$63,2,0)</f>
        <v>SERVIÇOS DE TI</v>
      </c>
      <c r="C35" s="342" t="str">
        <f>VLOOKUP(A35,'2-Inventário de Necessidades'!$A$2:$C$63,3,0)</f>
        <v>Ajustar sistemas internos às necessidades do usuários.</v>
      </c>
      <c r="D35" s="174" t="s">
        <v>975</v>
      </c>
      <c r="E35" s="177" t="s">
        <v>800</v>
      </c>
      <c r="F35" s="178" t="s">
        <v>380</v>
      </c>
      <c r="G35" s="179">
        <v>12</v>
      </c>
      <c r="H35" s="240" t="str">
        <f t="shared" ref="H35:H66" si="4">IF(
 ROUNDUP(SUM((J35-I35)/30),0)&gt;0,
 CONCATENATE(ROUNDUP(SUM((J35-I35)/30),0)," meses"),
  IF((G35*3)&lt;5,
  CONCATENATE(((G35*3)-1)," a ",G35*3," meses"),
   IF((G35*3)&gt;11,
   CONCATENATE("Superior a ", SUM((G35*3)/12)," ano(s)"),
   CONCATENATE(((G35*3)-1)," a ",G35*3," meses")
   )
  )
 )</f>
        <v>Superior a 3 ano(s)</v>
      </c>
      <c r="I35" s="180"/>
      <c r="J35" s="180"/>
      <c r="K35" s="180">
        <v>42370</v>
      </c>
      <c r="L35" s="180">
        <v>42430</v>
      </c>
      <c r="M35" s="240" t="str">
        <f t="shared" ref="M35:M66" ca="1" si="5">IF(K35="", "-",CONCATENATE(ROUNDUP(SUM(((IF(L35="",TODAY(),L35))-K35)/30),0)," meses"))</f>
        <v>2 meses</v>
      </c>
      <c r="N35" s="179" t="s">
        <v>841</v>
      </c>
      <c r="O35" s="440">
        <f>IF(ISERROR(VLOOKUP(D35,'4-Investimento-Custeio'!$B$3:$I$39,8,0))=TRUE, 0, VLOOKUP(D35,'4-Investimento-Custeio'!$B$3:$I$39,8,0))</f>
        <v>0</v>
      </c>
      <c r="P35" s="175">
        <v>0</v>
      </c>
      <c r="Q35" s="181" t="str">
        <f t="shared" ref="Q35:Q66" si="6">IF(K35="","Não Iniciado",IF(L35="","Em andamento","Concluído"))</f>
        <v>Concluído</v>
      </c>
      <c r="R35" s="182">
        <f t="shared" ref="R35:R66" si="7">IF(L35="",0,1)</f>
        <v>1</v>
      </c>
      <c r="S35" s="181" t="s">
        <v>1161</v>
      </c>
      <c r="T35" s="275">
        <v>145</v>
      </c>
      <c r="U35" s="218"/>
    </row>
    <row r="36" spans="1:21" ht="50.1" customHeight="1" x14ac:dyDescent="0.2">
      <c r="A36" s="176" t="s">
        <v>284</v>
      </c>
      <c r="B36" s="342" t="str">
        <f>VLOOKUP(A36,'2-Inventário de Necessidades'!$A$2:$B$63,2,0)</f>
        <v>SERVIÇOS DE TI</v>
      </c>
      <c r="C36" s="342" t="str">
        <f>VLOOKUP(A36,'2-Inventário de Necessidades'!$A$2:$C$63,3,0)</f>
        <v>Ajustar sistemas internos às necessidades do usuários.</v>
      </c>
      <c r="D36" s="174" t="s">
        <v>1038</v>
      </c>
      <c r="E36" s="177" t="s">
        <v>801</v>
      </c>
      <c r="F36" s="178" t="s">
        <v>380</v>
      </c>
      <c r="G36" s="179">
        <v>12</v>
      </c>
      <c r="H36" s="240" t="str">
        <f t="shared" si="4"/>
        <v>Superior a 3 ano(s)</v>
      </c>
      <c r="I36" s="180"/>
      <c r="J36" s="180"/>
      <c r="K36" s="180">
        <v>42370</v>
      </c>
      <c r="L36" s="180">
        <v>42430</v>
      </c>
      <c r="M36" s="240" t="str">
        <f t="shared" ca="1" si="5"/>
        <v>2 meses</v>
      </c>
      <c r="N36" s="179" t="s">
        <v>841</v>
      </c>
      <c r="O36" s="440">
        <f>IF(ISERROR(VLOOKUP(D36,'4-Investimento-Custeio'!$B$3:$I$39,8,0))=TRUE, 0, VLOOKUP(D36,'4-Investimento-Custeio'!$B$3:$I$39,8,0))</f>
        <v>0</v>
      </c>
      <c r="P36" s="175">
        <v>0</v>
      </c>
      <c r="Q36" s="181" t="str">
        <f t="shared" si="6"/>
        <v>Concluído</v>
      </c>
      <c r="R36" s="182">
        <f t="shared" si="7"/>
        <v>1</v>
      </c>
      <c r="S36" s="181" t="s">
        <v>1161</v>
      </c>
      <c r="T36" s="275">
        <v>146</v>
      </c>
      <c r="U36" s="218"/>
    </row>
    <row r="37" spans="1:21" ht="50.1" customHeight="1" x14ac:dyDescent="0.2">
      <c r="A37" s="176" t="s">
        <v>284</v>
      </c>
      <c r="B37" s="342" t="str">
        <f>VLOOKUP(A37,'2-Inventário de Necessidades'!$A$2:$B$63,2,0)</f>
        <v>SERVIÇOS DE TI</v>
      </c>
      <c r="C37" s="342" t="str">
        <f>VLOOKUP(A37,'2-Inventário de Necessidades'!$A$2:$C$63,3,0)</f>
        <v>Ajustar sistemas internos às necessidades do usuários.</v>
      </c>
      <c r="D37" s="174" t="s">
        <v>1064</v>
      </c>
      <c r="E37" s="177" t="s">
        <v>803</v>
      </c>
      <c r="F37" s="178" t="s">
        <v>380</v>
      </c>
      <c r="G37" s="179">
        <v>12</v>
      </c>
      <c r="H37" s="240" t="str">
        <f t="shared" si="4"/>
        <v>Superior a 3 ano(s)</v>
      </c>
      <c r="I37" s="180"/>
      <c r="J37" s="180"/>
      <c r="K37" s="180">
        <v>42370</v>
      </c>
      <c r="L37" s="180">
        <v>42430</v>
      </c>
      <c r="M37" s="240" t="str">
        <f t="shared" ca="1" si="5"/>
        <v>2 meses</v>
      </c>
      <c r="N37" s="179" t="s">
        <v>841</v>
      </c>
      <c r="O37" s="440">
        <f>IF(ISERROR(VLOOKUP(D37,'4-Investimento-Custeio'!$B$3:$I$39,8,0))=TRUE, 0, VLOOKUP(D37,'4-Investimento-Custeio'!$B$3:$I$39,8,0))</f>
        <v>0</v>
      </c>
      <c r="P37" s="175">
        <v>0</v>
      </c>
      <c r="Q37" s="181" t="str">
        <f t="shared" si="6"/>
        <v>Concluído</v>
      </c>
      <c r="R37" s="182">
        <f t="shared" si="7"/>
        <v>1</v>
      </c>
      <c r="S37" s="181" t="s">
        <v>1161</v>
      </c>
      <c r="T37" s="275">
        <v>147</v>
      </c>
      <c r="U37" s="218"/>
    </row>
    <row r="38" spans="1:21" ht="50.1" customHeight="1" x14ac:dyDescent="0.2">
      <c r="A38" s="176" t="s">
        <v>284</v>
      </c>
      <c r="B38" s="342" t="str">
        <f>VLOOKUP(A38,'2-Inventário de Necessidades'!$A$2:$B$63,2,0)</f>
        <v>SERVIÇOS DE TI</v>
      </c>
      <c r="C38" s="342" t="str">
        <f>VLOOKUP(A38,'2-Inventário de Necessidades'!$A$2:$C$63,3,0)</f>
        <v>Ajustar sistemas internos às necessidades do usuários.</v>
      </c>
      <c r="D38" s="174" t="s">
        <v>1069</v>
      </c>
      <c r="E38" s="177" t="s">
        <v>804</v>
      </c>
      <c r="F38" s="178" t="s">
        <v>380</v>
      </c>
      <c r="G38" s="179">
        <v>12</v>
      </c>
      <c r="H38" s="240" t="str">
        <f t="shared" si="4"/>
        <v>Superior a 3 ano(s)</v>
      </c>
      <c r="I38" s="180"/>
      <c r="J38" s="180"/>
      <c r="K38" s="180">
        <v>42370</v>
      </c>
      <c r="L38" s="180">
        <v>42430</v>
      </c>
      <c r="M38" s="240" t="str">
        <f t="shared" ca="1" si="5"/>
        <v>2 meses</v>
      </c>
      <c r="N38" s="179" t="s">
        <v>841</v>
      </c>
      <c r="O38" s="440">
        <f>IF(ISERROR(VLOOKUP(D38,'4-Investimento-Custeio'!$B$3:$I$39,8,0))=TRUE, 0, VLOOKUP(D38,'4-Investimento-Custeio'!$B$3:$I$39,8,0))</f>
        <v>0</v>
      </c>
      <c r="P38" s="175">
        <v>0</v>
      </c>
      <c r="Q38" s="181" t="str">
        <f t="shared" si="6"/>
        <v>Concluído</v>
      </c>
      <c r="R38" s="182">
        <f t="shared" si="7"/>
        <v>1</v>
      </c>
      <c r="S38" s="181" t="s">
        <v>1161</v>
      </c>
      <c r="T38" s="275">
        <v>148</v>
      </c>
      <c r="U38" s="218"/>
    </row>
    <row r="39" spans="1:21" ht="50.1" customHeight="1" x14ac:dyDescent="0.2">
      <c r="A39" s="176" t="s">
        <v>284</v>
      </c>
      <c r="B39" s="342" t="str">
        <f>VLOOKUP(A39,'2-Inventário de Necessidades'!$A$2:$B$63,2,0)</f>
        <v>SERVIÇOS DE TI</v>
      </c>
      <c r="C39" s="342" t="str">
        <f>VLOOKUP(A39,'2-Inventário de Necessidades'!$A$2:$C$63,3,0)</f>
        <v>Ajustar sistemas internos às necessidades do usuários.</v>
      </c>
      <c r="D39" s="174" t="s">
        <v>1036</v>
      </c>
      <c r="E39" s="177" t="s">
        <v>805</v>
      </c>
      <c r="F39" s="178" t="s">
        <v>380</v>
      </c>
      <c r="G39" s="179">
        <v>12</v>
      </c>
      <c r="H39" s="240" t="str">
        <f t="shared" si="4"/>
        <v>Superior a 3 ano(s)</v>
      </c>
      <c r="I39" s="180"/>
      <c r="J39" s="180"/>
      <c r="K39" s="180">
        <v>42370</v>
      </c>
      <c r="L39" s="180">
        <v>42430</v>
      </c>
      <c r="M39" s="240" t="str">
        <f t="shared" ca="1" si="5"/>
        <v>2 meses</v>
      </c>
      <c r="N39" s="179" t="s">
        <v>841</v>
      </c>
      <c r="O39" s="440">
        <f>IF(ISERROR(VLOOKUP(D39,'4-Investimento-Custeio'!$B$3:$I$39,8,0))=TRUE, 0, VLOOKUP(D39,'4-Investimento-Custeio'!$B$3:$I$39,8,0))</f>
        <v>0</v>
      </c>
      <c r="P39" s="175">
        <v>0</v>
      </c>
      <c r="Q39" s="181" t="str">
        <f t="shared" si="6"/>
        <v>Concluído</v>
      </c>
      <c r="R39" s="182">
        <f t="shared" si="7"/>
        <v>1</v>
      </c>
      <c r="S39" s="181" t="s">
        <v>1161</v>
      </c>
      <c r="T39" s="275">
        <v>149</v>
      </c>
      <c r="U39" s="218"/>
    </row>
    <row r="40" spans="1:21" ht="50.1" customHeight="1" x14ac:dyDescent="0.2">
      <c r="A40" s="176" t="s">
        <v>284</v>
      </c>
      <c r="B40" s="342" t="str">
        <f>VLOOKUP(A40,'2-Inventário de Necessidades'!$A$2:$B$63,2,0)</f>
        <v>SERVIÇOS DE TI</v>
      </c>
      <c r="C40" s="342" t="str">
        <f>VLOOKUP(A40,'2-Inventário de Necessidades'!$A$2:$C$63,3,0)</f>
        <v>Ajustar sistemas internos às necessidades do usuários.</v>
      </c>
      <c r="D40" s="174" t="s">
        <v>996</v>
      </c>
      <c r="E40" s="177" t="s">
        <v>820</v>
      </c>
      <c r="F40" s="178" t="s">
        <v>380</v>
      </c>
      <c r="G40" s="179">
        <v>12</v>
      </c>
      <c r="H40" s="240" t="str">
        <f t="shared" si="4"/>
        <v>Superior a 3 ano(s)</v>
      </c>
      <c r="I40" s="180"/>
      <c r="J40" s="180"/>
      <c r="K40" s="180">
        <v>42370</v>
      </c>
      <c r="L40" s="180">
        <v>42430</v>
      </c>
      <c r="M40" s="240" t="str">
        <f t="shared" ca="1" si="5"/>
        <v>2 meses</v>
      </c>
      <c r="N40" s="179" t="s">
        <v>295</v>
      </c>
      <c r="O40" s="440">
        <f>IF(ISERROR(VLOOKUP(D40,'4-Investimento-Custeio'!$B$3:$I$39,8,0))=TRUE, 0, VLOOKUP(D40,'4-Investimento-Custeio'!$B$3:$I$39,8,0))</f>
        <v>0</v>
      </c>
      <c r="P40" s="175">
        <v>0</v>
      </c>
      <c r="Q40" s="181" t="str">
        <f t="shared" si="6"/>
        <v>Concluído</v>
      </c>
      <c r="R40" s="182">
        <f t="shared" si="7"/>
        <v>1</v>
      </c>
      <c r="S40" s="181" t="s">
        <v>1161</v>
      </c>
      <c r="T40" s="275">
        <v>150</v>
      </c>
      <c r="U40" s="218"/>
    </row>
    <row r="41" spans="1:21" ht="50.1" customHeight="1" x14ac:dyDescent="0.2">
      <c r="A41" s="176" t="s">
        <v>284</v>
      </c>
      <c r="B41" s="342" t="str">
        <f>VLOOKUP(A41,'2-Inventário de Necessidades'!$A$2:$B$63,2,0)</f>
        <v>SERVIÇOS DE TI</v>
      </c>
      <c r="C41" s="342" t="str">
        <f>VLOOKUP(A41,'2-Inventário de Necessidades'!$A$2:$C$63,3,0)</f>
        <v>Ajustar sistemas internos às necessidades do usuários.</v>
      </c>
      <c r="D41" s="174" t="s">
        <v>1071</v>
      </c>
      <c r="E41" s="177" t="s">
        <v>821</v>
      </c>
      <c r="F41" s="178" t="s">
        <v>380</v>
      </c>
      <c r="G41" s="179">
        <v>12</v>
      </c>
      <c r="H41" s="240" t="str">
        <f t="shared" si="4"/>
        <v>Superior a 3 ano(s)</v>
      </c>
      <c r="I41" s="180"/>
      <c r="J41" s="180"/>
      <c r="K41" s="180">
        <v>42370</v>
      </c>
      <c r="L41" s="180">
        <v>42430</v>
      </c>
      <c r="M41" s="240" t="str">
        <f t="shared" ca="1" si="5"/>
        <v>2 meses</v>
      </c>
      <c r="N41" s="179" t="s">
        <v>841</v>
      </c>
      <c r="O41" s="440">
        <f>IF(ISERROR(VLOOKUP(D41,'4-Investimento-Custeio'!$B$3:$I$39,8,0))=TRUE, 0, VLOOKUP(D41,'4-Investimento-Custeio'!$B$3:$I$39,8,0))</f>
        <v>0</v>
      </c>
      <c r="P41" s="175">
        <v>0</v>
      </c>
      <c r="Q41" s="181" t="str">
        <f t="shared" si="6"/>
        <v>Concluído</v>
      </c>
      <c r="R41" s="182">
        <f t="shared" si="7"/>
        <v>1</v>
      </c>
      <c r="S41" s="181" t="s">
        <v>1161</v>
      </c>
      <c r="T41" s="275">
        <v>151</v>
      </c>
      <c r="U41" s="218"/>
    </row>
    <row r="42" spans="1:21" ht="50.1" customHeight="1" x14ac:dyDescent="0.2">
      <c r="A42" s="488" t="s">
        <v>18</v>
      </c>
      <c r="B42" s="489" t="str">
        <f>VLOOKUP(A42,'2-Inventário de Necessidades'!$A$2:$B$63,2,0)</f>
        <v>SISTEMAS DE INFORMAÇÃO</v>
      </c>
      <c r="C42" s="489" t="str">
        <f>VLOOKUP(A42,'2-Inventário de Necessidades'!$A$2:$C$63,3,0)</f>
        <v>Viabilização de solução para fiscalização de licitações e contratos</v>
      </c>
      <c r="D42" s="490" t="s">
        <v>1059</v>
      </c>
      <c r="E42" s="491" t="s">
        <v>762</v>
      </c>
      <c r="F42" s="492" t="s">
        <v>380</v>
      </c>
      <c r="G42" s="493">
        <v>3</v>
      </c>
      <c r="H42" s="494" t="str">
        <f t="shared" si="4"/>
        <v>3 meses</v>
      </c>
      <c r="I42" s="495">
        <v>42309</v>
      </c>
      <c r="J42" s="495">
        <v>42370</v>
      </c>
      <c r="K42" s="495">
        <v>42461</v>
      </c>
      <c r="L42" s="495">
        <v>42522</v>
      </c>
      <c r="M42" s="494" t="str">
        <f t="shared" ca="1" si="5"/>
        <v>3 meses</v>
      </c>
      <c r="N42" s="493" t="s">
        <v>841</v>
      </c>
      <c r="O42" s="496">
        <f>IF(ISERROR(VLOOKUP(D42,'4-Investimento-Custeio'!$B$3:$I$39,8,0))=TRUE, 0, VLOOKUP(D42,'4-Investimento-Custeio'!$B$3:$I$39,8,0))</f>
        <v>0</v>
      </c>
      <c r="P42" s="497">
        <v>0</v>
      </c>
      <c r="Q42" s="498" t="str">
        <f t="shared" si="6"/>
        <v>Concluído</v>
      </c>
      <c r="R42" s="499">
        <f t="shared" si="7"/>
        <v>1</v>
      </c>
      <c r="S42" s="498" t="s">
        <v>1162</v>
      </c>
      <c r="T42" s="275">
        <v>7</v>
      </c>
      <c r="U42" s="218"/>
    </row>
    <row r="43" spans="1:21" ht="50.1" customHeight="1" x14ac:dyDescent="0.2">
      <c r="A43" s="488" t="s">
        <v>28</v>
      </c>
      <c r="B43" s="489" t="str">
        <f>VLOOKUP(A43,'2-Inventário de Necessidades'!$A$2:$B$63,2,0)</f>
        <v>SISTEMAS DE INFORMAÇÃO</v>
      </c>
      <c r="C43" s="489" t="str">
        <f>VLOOKUP(A43,'2-Inventário de Necessidades'!$A$2:$C$63,3,0)</f>
        <v>Desenvolvimento de solução de aprimoramento do acompanhamento de decisões</v>
      </c>
      <c r="D43" s="490" t="s">
        <v>991</v>
      </c>
      <c r="E43" s="491" t="s">
        <v>768</v>
      </c>
      <c r="F43" s="492" t="s">
        <v>220</v>
      </c>
      <c r="G43" s="493">
        <v>1</v>
      </c>
      <c r="H43" s="494" t="str">
        <f t="shared" si="4"/>
        <v>1 meses</v>
      </c>
      <c r="I43" s="495">
        <v>42309</v>
      </c>
      <c r="J43" s="495">
        <v>42339</v>
      </c>
      <c r="K43" s="495">
        <v>42370</v>
      </c>
      <c r="L43" s="495">
        <v>42491</v>
      </c>
      <c r="M43" s="494" t="str">
        <f t="shared" ca="1" si="5"/>
        <v>5 meses</v>
      </c>
      <c r="N43" s="493" t="s">
        <v>841</v>
      </c>
      <c r="O43" s="496">
        <f>IF(ISERROR(VLOOKUP(D43,'4-Investimento-Custeio'!$B$3:$I$39,8,0))=TRUE, 0, VLOOKUP(D43,'4-Investimento-Custeio'!$B$3:$I$39,8,0))</f>
        <v>0</v>
      </c>
      <c r="P43" s="497">
        <v>0</v>
      </c>
      <c r="Q43" s="498" t="str">
        <f t="shared" si="6"/>
        <v>Concluído</v>
      </c>
      <c r="R43" s="499">
        <f t="shared" si="7"/>
        <v>1</v>
      </c>
      <c r="S43" s="498" t="s">
        <v>1162</v>
      </c>
      <c r="T43" s="275">
        <v>14</v>
      </c>
      <c r="U43" s="218"/>
    </row>
    <row r="44" spans="1:21" ht="50.1" customHeight="1" x14ac:dyDescent="0.2">
      <c r="A44" s="488" t="s">
        <v>32</v>
      </c>
      <c r="B44" s="489" t="str">
        <f>VLOOKUP(A44,'2-Inventário de Necessidades'!$A$2:$B$63,2,0)</f>
        <v>INFRAESTRUTURA DE TI</v>
      </c>
      <c r="C44" s="489" t="str">
        <f>VLOOKUP(A44,'2-Inventário de Necessidades'!$A$2:$C$63,3,0)</f>
        <v>Manutenção, ampliação e melhoria da infraestrutura de TI e da 
rede de comunicação</v>
      </c>
      <c r="D44" s="490" t="s">
        <v>35</v>
      </c>
      <c r="E44" s="491" t="s">
        <v>776</v>
      </c>
      <c r="F44" s="492" t="s">
        <v>376</v>
      </c>
      <c r="G44" s="493">
        <v>1</v>
      </c>
      <c r="H44" s="494" t="str">
        <f t="shared" si="4"/>
        <v>2 a 3 meses</v>
      </c>
      <c r="I44" s="495"/>
      <c r="J44" s="495"/>
      <c r="K44" s="495">
        <v>42446</v>
      </c>
      <c r="L44" s="495">
        <v>42522</v>
      </c>
      <c r="M44" s="494" t="str">
        <f t="shared" ca="1" si="5"/>
        <v>3 meses</v>
      </c>
      <c r="N44" s="493" t="s">
        <v>296</v>
      </c>
      <c r="O44" s="496">
        <f>IF(ISERROR(VLOOKUP(D44,'4-Investimento-Custeio'!$B$3:$I$39,8,0))=TRUE, 0, VLOOKUP(D44,'4-Investimento-Custeio'!$B$3:$I$39,8,0))</f>
        <v>144000</v>
      </c>
      <c r="P44" s="497">
        <v>0</v>
      </c>
      <c r="Q44" s="498" t="str">
        <f t="shared" si="6"/>
        <v>Concluído</v>
      </c>
      <c r="R44" s="499">
        <f t="shared" si="7"/>
        <v>1</v>
      </c>
      <c r="S44" s="498" t="s">
        <v>1162</v>
      </c>
      <c r="T44" s="275">
        <v>22</v>
      </c>
      <c r="U44" s="218"/>
    </row>
    <row r="45" spans="1:21" ht="50.1" customHeight="1" x14ac:dyDescent="0.2">
      <c r="A45" s="488" t="s">
        <v>45</v>
      </c>
      <c r="B45" s="489" t="str">
        <f>VLOOKUP(A45,'2-Inventário de Necessidades'!$A$2:$B$63,2,0)</f>
        <v>SISTEMAS DE INFORMAÇÃO</v>
      </c>
      <c r="C45" s="489" t="str">
        <f>VLOOKUP(A45,'2-Inventário de Necessidades'!$A$2:$C$63,3,0)</f>
        <v>Sustentação e evolução do sistema TCE-Juris</v>
      </c>
      <c r="D45" s="490" t="s">
        <v>1013</v>
      </c>
      <c r="E45" s="491" t="s">
        <v>1093</v>
      </c>
      <c r="F45" s="492" t="s">
        <v>380</v>
      </c>
      <c r="G45" s="493">
        <v>1</v>
      </c>
      <c r="H45" s="494" t="str">
        <f t="shared" si="4"/>
        <v>2 a 3 meses</v>
      </c>
      <c r="I45" s="495"/>
      <c r="J45" s="495"/>
      <c r="K45" s="495">
        <v>42461</v>
      </c>
      <c r="L45" s="495">
        <v>42491</v>
      </c>
      <c r="M45" s="494" t="str">
        <f t="shared" ca="1" si="5"/>
        <v>1 meses</v>
      </c>
      <c r="N45" s="493" t="s">
        <v>841</v>
      </c>
      <c r="O45" s="496">
        <f>IF(ISERROR(VLOOKUP(D45,'4-Investimento-Custeio'!$B$3:$I$39,8,0))=TRUE, 0, VLOOKUP(D45,'4-Investimento-Custeio'!$B$3:$I$39,8,0))</f>
        <v>0</v>
      </c>
      <c r="P45" s="497">
        <v>0</v>
      </c>
      <c r="Q45" s="498" t="str">
        <f t="shared" si="6"/>
        <v>Concluído</v>
      </c>
      <c r="R45" s="499">
        <f t="shared" si="7"/>
        <v>1</v>
      </c>
      <c r="S45" s="498" t="s">
        <v>1162</v>
      </c>
      <c r="T45" s="275">
        <v>32</v>
      </c>
      <c r="U45" s="218"/>
    </row>
    <row r="46" spans="1:21" ht="50.1" customHeight="1" x14ac:dyDescent="0.2">
      <c r="A46" s="488" t="s">
        <v>50</v>
      </c>
      <c r="B46" s="489" t="str">
        <f>VLOOKUP(A46,'2-Inventário de Necessidades'!$A$2:$B$63,2,0)</f>
        <v>GOVERNANÇA E GESTÃO DE TI</v>
      </c>
      <c r="C46" s="489" t="str">
        <f>VLOOKUP(A46,'2-Inventário de Necessidades'!$A$2:$C$63,3,0)</f>
        <v>Elaboração e execução de gerenciamento de portfólio de projetos de TI</v>
      </c>
      <c r="D46" s="490" t="s">
        <v>1008</v>
      </c>
      <c r="E46" s="491" t="s">
        <v>53</v>
      </c>
      <c r="F46" s="492" t="s">
        <v>380</v>
      </c>
      <c r="G46" s="493">
        <v>1</v>
      </c>
      <c r="H46" s="494" t="str">
        <f t="shared" si="4"/>
        <v>2 a 3 meses</v>
      </c>
      <c r="I46" s="495"/>
      <c r="J46" s="495"/>
      <c r="K46" s="495">
        <v>42430</v>
      </c>
      <c r="L46" s="495">
        <v>42522</v>
      </c>
      <c r="M46" s="494" t="str">
        <f t="shared" ca="1" si="5"/>
        <v>4 meses</v>
      </c>
      <c r="N46" s="493" t="s">
        <v>295</v>
      </c>
      <c r="O46" s="496">
        <f>IF(ISERROR(VLOOKUP(D46,'4-Investimento-Custeio'!$B$3:$I$39,8,0))=TRUE, 0, VLOOKUP(D46,'4-Investimento-Custeio'!$B$3:$I$39,8,0))</f>
        <v>0</v>
      </c>
      <c r="P46" s="497">
        <v>0</v>
      </c>
      <c r="Q46" s="498" t="str">
        <f t="shared" si="6"/>
        <v>Concluído</v>
      </c>
      <c r="R46" s="499">
        <f t="shared" si="7"/>
        <v>1</v>
      </c>
      <c r="S46" s="498" t="s">
        <v>1162</v>
      </c>
      <c r="T46" s="275">
        <v>39</v>
      </c>
      <c r="U46" s="218"/>
    </row>
    <row r="47" spans="1:21" ht="50.1" customHeight="1" x14ac:dyDescent="0.2">
      <c r="A47" s="488" t="s">
        <v>68</v>
      </c>
      <c r="B47" s="489" t="str">
        <f>VLOOKUP(A47,'2-Inventário de Necessidades'!$A$2:$B$63,2,0)</f>
        <v>GOVERNANÇA E GESTÃO DE TI</v>
      </c>
      <c r="C47" s="489" t="str">
        <f>VLOOKUP(A47,'2-Inventário de Necessidades'!$A$2:$C$63,3,0)</f>
        <v>Acompanhamento e transparência na execução das ações constantes no PDTI</v>
      </c>
      <c r="D47" s="490" t="s">
        <v>1007</v>
      </c>
      <c r="E47" s="491" t="s">
        <v>70</v>
      </c>
      <c r="F47" s="492" t="s">
        <v>220</v>
      </c>
      <c r="G47" s="493">
        <v>1</v>
      </c>
      <c r="H47" s="494" t="str">
        <f t="shared" si="4"/>
        <v>2 a 3 meses</v>
      </c>
      <c r="I47" s="495"/>
      <c r="J47" s="495"/>
      <c r="K47" s="495">
        <v>42461</v>
      </c>
      <c r="L47" s="495">
        <v>42522</v>
      </c>
      <c r="M47" s="494" t="str">
        <f t="shared" ca="1" si="5"/>
        <v>3 meses</v>
      </c>
      <c r="N47" s="493" t="s">
        <v>295</v>
      </c>
      <c r="O47" s="496">
        <f>IF(ISERROR(VLOOKUP(D47,'4-Investimento-Custeio'!$B$3:$I$39,8,0))=TRUE, 0, VLOOKUP(D47,'4-Investimento-Custeio'!$B$3:$I$39,8,0))</f>
        <v>0</v>
      </c>
      <c r="P47" s="497">
        <v>0</v>
      </c>
      <c r="Q47" s="498" t="str">
        <f t="shared" si="6"/>
        <v>Concluído</v>
      </c>
      <c r="R47" s="499">
        <f t="shared" si="7"/>
        <v>1</v>
      </c>
      <c r="S47" s="498" t="s">
        <v>1162</v>
      </c>
      <c r="T47" s="275">
        <v>53</v>
      </c>
      <c r="U47" s="218"/>
    </row>
    <row r="48" spans="1:21" ht="50.1" customHeight="1" x14ac:dyDescent="0.2">
      <c r="A48" s="488" t="s">
        <v>83</v>
      </c>
      <c r="B48" s="489" t="str">
        <f>VLOOKUP(A48,'2-Inventário de Necessidades'!$A$2:$B$63,2,0)</f>
        <v>GOVERNANÇA E GESTÃO DE TI</v>
      </c>
      <c r="C48" s="489" t="str">
        <f>VLOOKUP(A48,'2-Inventário de Necessidades'!$A$2:$C$63,3,0)</f>
        <v>Implantação da Gestão de Segurança da Informação</v>
      </c>
      <c r="D48" s="490" t="s">
        <v>1090</v>
      </c>
      <c r="E48" s="491" t="s">
        <v>818</v>
      </c>
      <c r="F48" s="492" t="s">
        <v>220</v>
      </c>
      <c r="G48" s="493">
        <v>1</v>
      </c>
      <c r="H48" s="494" t="str">
        <f t="shared" si="4"/>
        <v>2 a 3 meses</v>
      </c>
      <c r="I48" s="495"/>
      <c r="J48" s="495"/>
      <c r="K48" s="495">
        <v>42430</v>
      </c>
      <c r="L48" s="495">
        <v>42522</v>
      </c>
      <c r="M48" s="494" t="str">
        <f t="shared" ca="1" si="5"/>
        <v>4 meses</v>
      </c>
      <c r="N48" s="493" t="s">
        <v>295</v>
      </c>
      <c r="O48" s="496">
        <f>IF(ISERROR(VLOOKUP(D48,'4-Investimento-Custeio'!$B$3:$I$39,8,0))=TRUE, 0, VLOOKUP(D48,'4-Investimento-Custeio'!$B$3:$I$39,8,0))</f>
        <v>0</v>
      </c>
      <c r="P48" s="497">
        <v>0</v>
      </c>
      <c r="Q48" s="498" t="str">
        <f t="shared" si="6"/>
        <v>Concluído</v>
      </c>
      <c r="R48" s="499">
        <f t="shared" si="7"/>
        <v>1</v>
      </c>
      <c r="S48" s="498" t="s">
        <v>1162</v>
      </c>
      <c r="T48" s="275">
        <v>64</v>
      </c>
      <c r="U48" s="218"/>
    </row>
    <row r="49" spans="1:21" ht="50.1" customHeight="1" x14ac:dyDescent="0.2">
      <c r="A49" s="488" t="s">
        <v>98</v>
      </c>
      <c r="B49" s="489" t="str">
        <f>VLOOKUP(A49,'2-Inventário de Necessidades'!$A$2:$B$63,2,0)</f>
        <v>INFRAESTRUTURA DE TI</v>
      </c>
      <c r="C49" s="489" t="str">
        <f>VLOOKUP(A49,'2-Inventário de Necessidades'!$A$2:$C$63,3,0)</f>
        <v>Sustentação da infraestrutura de TI da nova sede</v>
      </c>
      <c r="D49" s="490" t="s">
        <v>976</v>
      </c>
      <c r="E49" s="491" t="s">
        <v>813</v>
      </c>
      <c r="F49" s="492" t="s">
        <v>825</v>
      </c>
      <c r="G49" s="493">
        <v>1</v>
      </c>
      <c r="H49" s="494" t="str">
        <f t="shared" si="4"/>
        <v>2 a 3 meses</v>
      </c>
      <c r="I49" s="495"/>
      <c r="J49" s="495"/>
      <c r="K49" s="495">
        <v>42401</v>
      </c>
      <c r="L49" s="495">
        <v>42522</v>
      </c>
      <c r="M49" s="494" t="str">
        <f t="shared" ca="1" si="5"/>
        <v>5 meses</v>
      </c>
      <c r="N49" s="493" t="s">
        <v>295</v>
      </c>
      <c r="O49" s="496">
        <f>IF(ISERROR(VLOOKUP(D49,'4-Investimento-Custeio'!$B$3:$I$39,8,0))=TRUE, 0, VLOOKUP(D49,'4-Investimento-Custeio'!$B$3:$I$39,8,0))</f>
        <v>0</v>
      </c>
      <c r="P49" s="497">
        <v>0</v>
      </c>
      <c r="Q49" s="498" t="str">
        <f t="shared" si="6"/>
        <v>Concluído</v>
      </c>
      <c r="R49" s="499">
        <f t="shared" si="7"/>
        <v>1</v>
      </c>
      <c r="S49" s="498" t="s">
        <v>1162</v>
      </c>
      <c r="T49" s="275">
        <v>74</v>
      </c>
      <c r="U49" s="218"/>
    </row>
    <row r="50" spans="1:21" ht="50.1" customHeight="1" x14ac:dyDescent="0.2">
      <c r="A50" s="488" t="s">
        <v>104</v>
      </c>
      <c r="B50" s="489" t="str">
        <f>VLOOKUP(A50,'2-Inventário de Necessidades'!$A$2:$B$63,2,0)</f>
        <v>SISTEMAS DE INFORMAÇÃO</v>
      </c>
      <c r="C50" s="489" t="str">
        <f>VLOOKUP(A50,'2-Inventário de Necessidades'!$A$2:$C$63,3,0)</f>
        <v>Viabilizar a análise de dados e o cruzamento de informações.</v>
      </c>
      <c r="D50" s="490" t="s">
        <v>1033</v>
      </c>
      <c r="E50" s="491" t="s">
        <v>1092</v>
      </c>
      <c r="F50" s="492" t="s">
        <v>380</v>
      </c>
      <c r="G50" s="493">
        <v>2</v>
      </c>
      <c r="H50" s="494" t="str">
        <f t="shared" si="4"/>
        <v>5 a 6 meses</v>
      </c>
      <c r="I50" s="495"/>
      <c r="J50" s="495"/>
      <c r="K50" s="495">
        <v>42401</v>
      </c>
      <c r="L50" s="495">
        <v>42491</v>
      </c>
      <c r="M50" s="494" t="str">
        <f t="shared" ca="1" si="5"/>
        <v>3 meses</v>
      </c>
      <c r="N50" s="493" t="s">
        <v>841</v>
      </c>
      <c r="O50" s="496">
        <f>IF(ISERROR(VLOOKUP(D50,'4-Investimento-Custeio'!$B$3:$I$39,8,0))=TRUE, 0, VLOOKUP(D50,'4-Investimento-Custeio'!$B$3:$I$39,8,0))</f>
        <v>0</v>
      </c>
      <c r="P50" s="497">
        <v>0</v>
      </c>
      <c r="Q50" s="498" t="str">
        <f t="shared" si="6"/>
        <v>Concluído</v>
      </c>
      <c r="R50" s="499">
        <f t="shared" si="7"/>
        <v>1</v>
      </c>
      <c r="S50" s="498" t="s">
        <v>1162</v>
      </c>
      <c r="T50" s="275">
        <v>79</v>
      </c>
      <c r="U50" s="218"/>
    </row>
    <row r="51" spans="1:21" ht="50.1" customHeight="1" x14ac:dyDescent="0.2">
      <c r="A51" s="488" t="s">
        <v>195</v>
      </c>
      <c r="B51" s="489" t="str">
        <f>VLOOKUP(A51,'2-Inventário de Necessidades'!$A$2:$B$63,2,0)</f>
        <v>SISTEMAS DE INFORMAÇÃO</v>
      </c>
      <c r="C51" s="489" t="str">
        <f>VLOOKUP(A51,'2-Inventário de Necessidades'!$A$2:$C$63,3,0)</f>
        <v>Desenvolvimento de solução de gestão da manutenção predial</v>
      </c>
      <c r="D51" s="490" t="s">
        <v>1062</v>
      </c>
      <c r="E51" s="491" t="s">
        <v>791</v>
      </c>
      <c r="F51" s="492" t="s">
        <v>380</v>
      </c>
      <c r="G51" s="493">
        <v>1</v>
      </c>
      <c r="H51" s="494" t="str">
        <f t="shared" si="4"/>
        <v>3 meses</v>
      </c>
      <c r="I51" s="495">
        <v>42339</v>
      </c>
      <c r="J51" s="495">
        <v>42401</v>
      </c>
      <c r="K51" s="495">
        <v>42430</v>
      </c>
      <c r="L51" s="495">
        <v>42522</v>
      </c>
      <c r="M51" s="494" t="str">
        <f t="shared" ca="1" si="5"/>
        <v>4 meses</v>
      </c>
      <c r="N51" s="493" t="s">
        <v>295</v>
      </c>
      <c r="O51" s="496">
        <f>IF(ISERROR(VLOOKUP(D51,'4-Investimento-Custeio'!$B$3:$I$39,8,0))=TRUE, 0, VLOOKUP(D51,'4-Investimento-Custeio'!$B$3:$I$39,8,0))</f>
        <v>0</v>
      </c>
      <c r="P51" s="497">
        <v>0</v>
      </c>
      <c r="Q51" s="498" t="str">
        <f t="shared" si="6"/>
        <v>Concluído</v>
      </c>
      <c r="R51" s="499">
        <f t="shared" si="7"/>
        <v>1</v>
      </c>
      <c r="S51" s="498" t="s">
        <v>1162</v>
      </c>
      <c r="T51" s="275">
        <v>135</v>
      </c>
      <c r="U51" s="218"/>
    </row>
    <row r="52" spans="1:21" ht="50.1" customHeight="1" x14ac:dyDescent="0.2">
      <c r="A52" s="488" t="s">
        <v>198</v>
      </c>
      <c r="B52" s="489" t="str">
        <f>VLOOKUP(A52,'2-Inventário de Necessidades'!$A$2:$B$63,2,0)</f>
        <v>INFRAESTRUTURA DE TI</v>
      </c>
      <c r="C52" s="489" t="str">
        <f>VLOOKUP(A52,'2-Inventário de Necessidades'!$A$2:$C$63,3,0)</f>
        <v>Viabilização de infraestrutura para produção de conteúdo de vídeo e transmissão das Sessões Plenárias</v>
      </c>
      <c r="D52" s="490" t="s">
        <v>838</v>
      </c>
      <c r="E52" s="491" t="s">
        <v>201</v>
      </c>
      <c r="F52" s="492" t="s">
        <v>220</v>
      </c>
      <c r="G52" s="493">
        <v>1</v>
      </c>
      <c r="H52" s="494" t="str">
        <f t="shared" si="4"/>
        <v>2 a 3 meses</v>
      </c>
      <c r="I52" s="495"/>
      <c r="J52" s="495"/>
      <c r="K52" s="495">
        <v>42461</v>
      </c>
      <c r="L52" s="495">
        <v>42522</v>
      </c>
      <c r="M52" s="494" t="str">
        <f t="shared" ca="1" si="5"/>
        <v>3 meses</v>
      </c>
      <c r="N52" s="493" t="s">
        <v>296</v>
      </c>
      <c r="O52" s="496">
        <f>IF(ISERROR(VLOOKUP(D52,'4-Investimento-Custeio'!$B$3:$I$39,8,0))=TRUE, 0, VLOOKUP(D52,'4-Investimento-Custeio'!$B$3:$I$39,8,0))</f>
        <v>30000</v>
      </c>
      <c r="P52" s="497">
        <v>0</v>
      </c>
      <c r="Q52" s="498" t="str">
        <f t="shared" si="6"/>
        <v>Concluído</v>
      </c>
      <c r="R52" s="499">
        <f t="shared" si="7"/>
        <v>1</v>
      </c>
      <c r="S52" s="498" t="s">
        <v>1162</v>
      </c>
      <c r="T52" s="275">
        <v>137</v>
      </c>
      <c r="U52" s="218"/>
    </row>
    <row r="53" spans="1:21" ht="50.1" customHeight="1" x14ac:dyDescent="0.2">
      <c r="A53" s="488" t="s">
        <v>32</v>
      </c>
      <c r="B53" s="489" t="str">
        <f>VLOOKUP(A53,'2-Inventário de Necessidades'!$A$2:$B$63,2,0)</f>
        <v>INFRAESTRUTURA DE TI</v>
      </c>
      <c r="C53" s="489" t="str">
        <f>VLOOKUP(A53,'2-Inventário de Necessidades'!$A$2:$C$63,3,0)</f>
        <v>Manutenção, ampliação e melhoria da infraestrutura de TI e da 
rede de comunicação</v>
      </c>
      <c r="D53" s="490" t="s">
        <v>299</v>
      </c>
      <c r="E53" s="491" t="s">
        <v>843</v>
      </c>
      <c r="F53" s="492" t="s">
        <v>220</v>
      </c>
      <c r="G53" s="493">
        <v>1</v>
      </c>
      <c r="H53" s="494" t="str">
        <f t="shared" si="4"/>
        <v>2 a 3 meses</v>
      </c>
      <c r="I53" s="495"/>
      <c r="J53" s="495"/>
      <c r="K53" s="495">
        <v>42491</v>
      </c>
      <c r="L53" s="495">
        <v>42522</v>
      </c>
      <c r="M53" s="494" t="str">
        <f t="shared" ca="1" si="5"/>
        <v>2 meses</v>
      </c>
      <c r="N53" s="493" t="s">
        <v>293</v>
      </c>
      <c r="O53" s="496">
        <f>IF(ISERROR(VLOOKUP(D53,'4-Investimento-Custeio'!$B$3:$I$39,8,0))=TRUE, 0, VLOOKUP(D53,'4-Investimento-Custeio'!$B$3:$I$39,8,0))</f>
        <v>30000</v>
      </c>
      <c r="P53" s="497">
        <v>8500.44</v>
      </c>
      <c r="Q53" s="498" t="str">
        <f t="shared" si="6"/>
        <v>Concluído</v>
      </c>
      <c r="R53" s="499">
        <f t="shared" si="7"/>
        <v>1</v>
      </c>
      <c r="S53" s="498" t="s">
        <v>1162</v>
      </c>
      <c r="T53" s="275">
        <v>30</v>
      </c>
      <c r="U53" s="218"/>
    </row>
    <row r="54" spans="1:21" ht="50.1" customHeight="1" x14ac:dyDescent="0.2">
      <c r="A54" s="488" t="s">
        <v>32</v>
      </c>
      <c r="B54" s="489" t="str">
        <f>VLOOKUP(A54,'2-Inventário de Necessidades'!$A$2:$B$63,2,0)</f>
        <v>INFRAESTRUTURA DE TI</v>
      </c>
      <c r="C54" s="489" t="str">
        <f>VLOOKUP(A54,'2-Inventário de Necessidades'!$A$2:$C$63,3,0)</f>
        <v>Manutenção, ampliação e melhoria da infraestrutura de TI e da 
rede de comunicação</v>
      </c>
      <c r="D54" s="490" t="s">
        <v>42</v>
      </c>
      <c r="E54" s="491" t="s">
        <v>844</v>
      </c>
      <c r="F54" s="492" t="s">
        <v>376</v>
      </c>
      <c r="G54" s="493">
        <v>1</v>
      </c>
      <c r="H54" s="494" t="str">
        <f t="shared" si="4"/>
        <v>2 a 3 meses</v>
      </c>
      <c r="I54" s="495"/>
      <c r="J54" s="495"/>
      <c r="K54" s="495">
        <v>42446</v>
      </c>
      <c r="L54" s="495">
        <v>42522</v>
      </c>
      <c r="M54" s="494" t="str">
        <f t="shared" ca="1" si="5"/>
        <v>3 meses</v>
      </c>
      <c r="N54" s="493" t="s">
        <v>296</v>
      </c>
      <c r="O54" s="496">
        <f>IF(ISERROR(VLOOKUP(D54,'4-Investimento-Custeio'!$B$3:$I$39,8,0))=TRUE, 0, VLOOKUP(D54,'4-Investimento-Custeio'!$B$3:$I$39,8,0))</f>
        <v>225000</v>
      </c>
      <c r="P54" s="497">
        <f>224950+202899</f>
        <v>427849</v>
      </c>
      <c r="Q54" s="498" t="str">
        <f t="shared" si="6"/>
        <v>Concluído</v>
      </c>
      <c r="R54" s="499">
        <f t="shared" si="7"/>
        <v>1</v>
      </c>
      <c r="S54" s="498" t="s">
        <v>1162</v>
      </c>
      <c r="T54" s="275">
        <v>28</v>
      </c>
      <c r="U54" s="218"/>
    </row>
    <row r="55" spans="1:21" ht="50.1" customHeight="1" x14ac:dyDescent="0.2">
      <c r="A55" s="500" t="s">
        <v>20</v>
      </c>
      <c r="B55" s="343" t="str">
        <f>VLOOKUP(A55,'2-Inventário de Necessidades'!$A$2:$B$63,2,0)</f>
        <v>SERVIÇOS DE TI</v>
      </c>
      <c r="C55" s="343" t="str">
        <f>VLOOKUP(A55,'2-Inventário de Necessidades'!$A$2:$C$63,3,0)</f>
        <v>Contratação de serviço técnico especializado em desenvolvimento e manutenção de software,infraestrutura de TI e administração de banco de dados</v>
      </c>
      <c r="D55" s="214" t="s">
        <v>385</v>
      </c>
      <c r="E55" s="220" t="s">
        <v>386</v>
      </c>
      <c r="F55" s="229" t="s">
        <v>376</v>
      </c>
      <c r="G55" s="230">
        <v>2</v>
      </c>
      <c r="H55" s="241" t="str">
        <f t="shared" si="4"/>
        <v>3 meses</v>
      </c>
      <c r="I55" s="224">
        <v>42461</v>
      </c>
      <c r="J55" s="224">
        <v>42522</v>
      </c>
      <c r="K55" s="224">
        <v>42430</v>
      </c>
      <c r="L55" s="224">
        <v>42614</v>
      </c>
      <c r="M55" s="241" t="str">
        <f t="shared" ca="1" si="5"/>
        <v>7 meses</v>
      </c>
      <c r="N55" s="230" t="s">
        <v>841</v>
      </c>
      <c r="O55" s="441">
        <f>IF(ISERROR(VLOOKUP(D55,'4-Investimento-Custeio'!$B$3:$I$39,8,0))=TRUE, 0, VLOOKUP(D55,'4-Investimento-Custeio'!$B$3:$I$39,8,0))</f>
        <v>9000000</v>
      </c>
      <c r="P55" s="226">
        <v>0</v>
      </c>
      <c r="Q55" s="227" t="str">
        <f t="shared" si="6"/>
        <v>Concluído</v>
      </c>
      <c r="R55" s="231">
        <f t="shared" si="7"/>
        <v>1</v>
      </c>
      <c r="S55" s="227" t="s">
        <v>1163</v>
      </c>
      <c r="T55" s="275">
        <v>10</v>
      </c>
      <c r="U55" s="218"/>
    </row>
    <row r="56" spans="1:21" ht="50.1" customHeight="1" x14ac:dyDescent="0.2">
      <c r="A56" s="322" t="s">
        <v>45</v>
      </c>
      <c r="B56" s="343" t="str">
        <f>VLOOKUP(A56,'2-Inventário de Necessidades'!$A$2:$B$63,2,0)</f>
        <v>SISTEMAS DE INFORMAÇÃO</v>
      </c>
      <c r="C56" s="343" t="str">
        <f>VLOOKUP(A56,'2-Inventário de Necessidades'!$A$2:$C$63,3,0)</f>
        <v>Sustentação e evolução do sistema TCE-Juris</v>
      </c>
      <c r="D56" s="214" t="s">
        <v>1054</v>
      </c>
      <c r="E56" s="215" t="s">
        <v>1109</v>
      </c>
      <c r="F56" s="222" t="s">
        <v>380</v>
      </c>
      <c r="G56" s="223">
        <v>1</v>
      </c>
      <c r="H56" s="241" t="str">
        <f t="shared" si="4"/>
        <v>4 meses</v>
      </c>
      <c r="I56" s="224">
        <v>42461</v>
      </c>
      <c r="J56" s="224">
        <v>42552</v>
      </c>
      <c r="K56" s="225">
        <v>42461</v>
      </c>
      <c r="L56" s="225">
        <v>42583</v>
      </c>
      <c r="M56" s="241" t="str">
        <f t="shared" ca="1" si="5"/>
        <v>5 meses</v>
      </c>
      <c r="N56" s="230" t="s">
        <v>841</v>
      </c>
      <c r="O56" s="441">
        <f>IF(ISERROR(VLOOKUP(D56,'4-Investimento-Custeio'!$B$3:$I$39,8,0))=TRUE, 0, VLOOKUP(D56,'4-Investimento-Custeio'!$B$3:$I$39,8,0))</f>
        <v>0</v>
      </c>
      <c r="P56" s="226">
        <v>0</v>
      </c>
      <c r="Q56" s="227" t="str">
        <f t="shared" si="6"/>
        <v>Concluído</v>
      </c>
      <c r="R56" s="228">
        <f t="shared" si="7"/>
        <v>1</v>
      </c>
      <c r="S56" s="227" t="s">
        <v>1163</v>
      </c>
      <c r="T56" s="275">
        <v>33</v>
      </c>
      <c r="U56" s="218"/>
    </row>
    <row r="57" spans="1:21" ht="50.1" customHeight="1" x14ac:dyDescent="0.2">
      <c r="A57" s="322" t="s">
        <v>47</v>
      </c>
      <c r="B57" s="343" t="str">
        <f>VLOOKUP(A57,'2-Inventário de Necessidades'!$A$2:$B$63,2,0)</f>
        <v>GOVERNANÇA E GESTÃO DE TI</v>
      </c>
      <c r="C57" s="343" t="str">
        <f>VLOOKUP(A57,'2-Inventário de Necessidades'!$A$2:$C$63,3,0)</f>
        <v>Implantação de Comitê Estratégico de TI</v>
      </c>
      <c r="D57" s="214" t="s">
        <v>1077</v>
      </c>
      <c r="E57" s="215" t="s">
        <v>388</v>
      </c>
      <c r="F57" s="222" t="s">
        <v>220</v>
      </c>
      <c r="G57" s="223">
        <v>2</v>
      </c>
      <c r="H57" s="241" t="str">
        <f t="shared" si="4"/>
        <v>1 meses</v>
      </c>
      <c r="I57" s="224">
        <v>42522</v>
      </c>
      <c r="J57" s="224">
        <v>42552</v>
      </c>
      <c r="K57" s="225">
        <v>42522</v>
      </c>
      <c r="L57" s="225">
        <v>42583</v>
      </c>
      <c r="M57" s="241" t="str">
        <f t="shared" ca="1" si="5"/>
        <v>3 meses</v>
      </c>
      <c r="N57" s="230" t="s">
        <v>295</v>
      </c>
      <c r="O57" s="441">
        <f>IF(ISERROR(VLOOKUP(D57,'4-Investimento-Custeio'!$B$3:$I$39,8,0))=TRUE, 0, VLOOKUP(D57,'4-Investimento-Custeio'!$B$3:$I$39,8,0))</f>
        <v>0</v>
      </c>
      <c r="P57" s="226">
        <v>0</v>
      </c>
      <c r="Q57" s="227" t="str">
        <f t="shared" si="6"/>
        <v>Concluído</v>
      </c>
      <c r="R57" s="228">
        <f t="shared" si="7"/>
        <v>1</v>
      </c>
      <c r="S57" s="227" t="s">
        <v>1163</v>
      </c>
      <c r="T57" s="275">
        <v>34</v>
      </c>
      <c r="U57" s="218"/>
    </row>
    <row r="58" spans="1:21" ht="50.1" customHeight="1" x14ac:dyDescent="0.2">
      <c r="A58" s="322" t="s">
        <v>50</v>
      </c>
      <c r="B58" s="501" t="str">
        <f>VLOOKUP(A58,'2-Inventário de Necessidades'!$A$2:$B$63,2,0)</f>
        <v>GOVERNANÇA E GESTÃO DE TI</v>
      </c>
      <c r="C58" s="501" t="str">
        <f>VLOOKUP(A58,'2-Inventário de Necessidades'!$A$2:$C$63,3,0)</f>
        <v>Elaboração e execução de gerenciamento de portfólio de projetos de TI</v>
      </c>
      <c r="D58" s="222" t="s">
        <v>1046</v>
      </c>
      <c r="E58" s="222" t="s">
        <v>1094</v>
      </c>
      <c r="F58" s="222" t="s">
        <v>380</v>
      </c>
      <c r="G58" s="502">
        <v>1</v>
      </c>
      <c r="H58" s="241" t="str">
        <f t="shared" si="4"/>
        <v>4 meses</v>
      </c>
      <c r="I58" s="224">
        <v>42461</v>
      </c>
      <c r="J58" s="224">
        <v>42552</v>
      </c>
      <c r="K58" s="225">
        <v>42430</v>
      </c>
      <c r="L58" s="225">
        <v>42583</v>
      </c>
      <c r="M58" s="241" t="str">
        <f t="shared" ca="1" si="5"/>
        <v>6 meses</v>
      </c>
      <c r="N58" s="230" t="s">
        <v>295</v>
      </c>
      <c r="O58" s="441">
        <f>IF(ISERROR(VLOOKUP(D58,'4-Investimento-Custeio'!$B$3:$I$39,8,0))=TRUE, 0, VLOOKUP(D58,'4-Investimento-Custeio'!$B$3:$I$39,8,0))</f>
        <v>0</v>
      </c>
      <c r="P58" s="226">
        <v>0</v>
      </c>
      <c r="Q58" s="502" t="str">
        <f t="shared" si="6"/>
        <v>Concluído</v>
      </c>
      <c r="R58" s="228">
        <f t="shared" si="7"/>
        <v>1</v>
      </c>
      <c r="S58" s="227" t="s">
        <v>1163</v>
      </c>
      <c r="T58" s="275">
        <v>37</v>
      </c>
      <c r="U58" s="218"/>
    </row>
    <row r="59" spans="1:21" ht="50.1" customHeight="1" x14ac:dyDescent="0.2">
      <c r="A59" s="322" t="s">
        <v>94</v>
      </c>
      <c r="B59" s="343" t="str">
        <f>VLOOKUP(A59,'2-Inventário de Necessidades'!$A$2:$B$63,2,0)</f>
        <v>SISTEMAS DE INFORMAÇÃO</v>
      </c>
      <c r="C59" s="343" t="str">
        <f>VLOOKUP(A59,'2-Inventário de Necessidades'!$A$2:$C$63,3,0)</f>
        <v>Viabilizar solução de monitoramento de tramitação de autos processuais e produção de documentos</v>
      </c>
      <c r="D59" s="214" t="s">
        <v>1066</v>
      </c>
      <c r="E59" s="215" t="s">
        <v>789</v>
      </c>
      <c r="F59" s="222" t="s">
        <v>380</v>
      </c>
      <c r="G59" s="223">
        <v>2</v>
      </c>
      <c r="H59" s="241" t="str">
        <f t="shared" si="4"/>
        <v>5 a 6 meses</v>
      </c>
      <c r="I59" s="224"/>
      <c r="J59" s="224"/>
      <c r="K59" s="225">
        <v>42491</v>
      </c>
      <c r="L59" s="225">
        <v>42614</v>
      </c>
      <c r="M59" s="241" t="str">
        <f t="shared" ca="1" si="5"/>
        <v>5 meses</v>
      </c>
      <c r="N59" s="230" t="s">
        <v>841</v>
      </c>
      <c r="O59" s="441">
        <f>IF(ISERROR(VLOOKUP(D59,'4-Investimento-Custeio'!$B$3:$I$39,8,0))=TRUE, 0, VLOOKUP(D59,'4-Investimento-Custeio'!$B$3:$I$39,8,0))</f>
        <v>0</v>
      </c>
      <c r="P59" s="226">
        <v>0</v>
      </c>
      <c r="Q59" s="227" t="str">
        <f t="shared" si="6"/>
        <v>Concluído</v>
      </c>
      <c r="R59" s="228">
        <f t="shared" si="7"/>
        <v>1</v>
      </c>
      <c r="S59" s="227" t="s">
        <v>1163</v>
      </c>
      <c r="T59" s="275">
        <v>71</v>
      </c>
      <c r="U59" s="218"/>
    </row>
    <row r="60" spans="1:21" ht="50.1" customHeight="1" x14ac:dyDescent="0.2">
      <c r="A60" s="322" t="s">
        <v>98</v>
      </c>
      <c r="B60" s="343" t="str">
        <f>VLOOKUP(A60,'2-Inventário de Necessidades'!$A$2:$B$63,2,0)</f>
        <v>INFRAESTRUTURA DE TI</v>
      </c>
      <c r="C60" s="343" t="str">
        <f>VLOOKUP(A60,'2-Inventário de Necessidades'!$A$2:$C$63,3,0)</f>
        <v>Sustentação da infraestrutura de TI da nova sede</v>
      </c>
      <c r="D60" s="214" t="s">
        <v>977</v>
      </c>
      <c r="E60" s="215" t="s">
        <v>812</v>
      </c>
      <c r="F60" s="222" t="s">
        <v>220</v>
      </c>
      <c r="G60" s="223">
        <v>1</v>
      </c>
      <c r="H60" s="241" t="str">
        <f t="shared" si="4"/>
        <v>3 meses</v>
      </c>
      <c r="I60" s="224">
        <v>42491</v>
      </c>
      <c r="J60" s="224">
        <v>42552</v>
      </c>
      <c r="K60" s="225">
        <v>42491</v>
      </c>
      <c r="L60" s="225">
        <v>42583</v>
      </c>
      <c r="M60" s="241" t="str">
        <f t="shared" ca="1" si="5"/>
        <v>4 meses</v>
      </c>
      <c r="N60" s="230" t="s">
        <v>295</v>
      </c>
      <c r="O60" s="441">
        <f>IF(ISERROR(VLOOKUP(D60,'4-Investimento-Custeio'!$B$3:$I$39,8,0))=TRUE, 0, VLOOKUP(D60,'4-Investimento-Custeio'!$B$3:$I$39,8,0))</f>
        <v>0</v>
      </c>
      <c r="P60" s="226">
        <v>0</v>
      </c>
      <c r="Q60" s="227" t="str">
        <f t="shared" si="6"/>
        <v>Concluído</v>
      </c>
      <c r="R60" s="228">
        <f t="shared" si="7"/>
        <v>1</v>
      </c>
      <c r="S60" s="227" t="s">
        <v>1163</v>
      </c>
      <c r="T60" s="275">
        <v>75</v>
      </c>
      <c r="U60" s="218"/>
    </row>
    <row r="61" spans="1:21" ht="50.1" customHeight="1" x14ac:dyDescent="0.2">
      <c r="A61" s="322" t="s">
        <v>105</v>
      </c>
      <c r="B61" s="343" t="str">
        <f>VLOOKUP(A61,'2-Inventário de Necessidades'!$A$2:$B$63,2,0)</f>
        <v>SERVIÇOS DE TI</v>
      </c>
      <c r="C61" s="343" t="str">
        <f>VLOOKUP(A61,'2-Inventário de Necessidades'!$A$2:$C$63,3,0)</f>
        <v>Viabilização da inserção do TCE-GO em Redes Sociais</v>
      </c>
      <c r="D61" s="214" t="s">
        <v>1068</v>
      </c>
      <c r="E61" s="215" t="s">
        <v>107</v>
      </c>
      <c r="F61" s="222" t="s">
        <v>825</v>
      </c>
      <c r="G61" s="223">
        <v>2</v>
      </c>
      <c r="H61" s="241" t="str">
        <f t="shared" si="4"/>
        <v>5 a 6 meses</v>
      </c>
      <c r="I61" s="224"/>
      <c r="J61" s="224"/>
      <c r="K61" s="225">
        <v>42522</v>
      </c>
      <c r="L61" s="225">
        <v>42614</v>
      </c>
      <c r="M61" s="241" t="str">
        <f t="shared" ca="1" si="5"/>
        <v>4 meses</v>
      </c>
      <c r="N61" s="230" t="s">
        <v>295</v>
      </c>
      <c r="O61" s="441">
        <f>IF(ISERROR(VLOOKUP(D61,'4-Investimento-Custeio'!$B$3:$I$39,8,0))=TRUE, 0, VLOOKUP(D61,'4-Investimento-Custeio'!$B$3:$I$39,8,0))</f>
        <v>0</v>
      </c>
      <c r="P61" s="226">
        <v>0</v>
      </c>
      <c r="Q61" s="227" t="str">
        <f t="shared" si="6"/>
        <v>Concluído</v>
      </c>
      <c r="R61" s="228">
        <f t="shared" si="7"/>
        <v>1</v>
      </c>
      <c r="S61" s="227" t="s">
        <v>1163</v>
      </c>
      <c r="T61" s="275">
        <v>84</v>
      </c>
      <c r="U61" s="218"/>
    </row>
    <row r="62" spans="1:21" ht="50.1" customHeight="1" x14ac:dyDescent="0.2">
      <c r="A62" s="503" t="s">
        <v>47</v>
      </c>
      <c r="B62" s="504" t="str">
        <f>VLOOKUP(A62,'2-Inventário de Necessidades'!$A$2:$B$63,2,0)</f>
        <v>GOVERNANÇA E GESTÃO DE TI</v>
      </c>
      <c r="C62" s="504" t="str">
        <f>VLOOKUP(A62,'2-Inventário de Necessidades'!$A$2:$C$63,3,0)</f>
        <v>Implantação de Comitê Estratégico de TI</v>
      </c>
      <c r="D62" s="505" t="s">
        <v>984</v>
      </c>
      <c r="E62" s="506" t="s">
        <v>777</v>
      </c>
      <c r="F62" s="507" t="s">
        <v>376</v>
      </c>
      <c r="G62" s="508">
        <v>2</v>
      </c>
      <c r="H62" s="509" t="str">
        <f t="shared" si="4"/>
        <v>2 meses</v>
      </c>
      <c r="I62" s="510">
        <v>42552</v>
      </c>
      <c r="J62" s="510">
        <v>42583</v>
      </c>
      <c r="K62" s="511">
        <v>42583</v>
      </c>
      <c r="L62" s="511">
        <v>42675</v>
      </c>
      <c r="M62" s="509" t="str">
        <f t="shared" ca="1" si="5"/>
        <v>4 meses</v>
      </c>
      <c r="N62" s="512" t="s">
        <v>295</v>
      </c>
      <c r="O62" s="513">
        <f>IF(ISERROR(VLOOKUP(D62,'4-Investimento-Custeio'!$B$3:$I$39,8,0))=TRUE, 0, VLOOKUP(D62,'4-Investimento-Custeio'!$B$3:$I$39,8,0))</f>
        <v>0</v>
      </c>
      <c r="P62" s="514">
        <v>0</v>
      </c>
      <c r="Q62" s="515" t="str">
        <f t="shared" si="6"/>
        <v>Concluído</v>
      </c>
      <c r="R62" s="516">
        <f t="shared" si="7"/>
        <v>1</v>
      </c>
      <c r="S62" s="515" t="s">
        <v>1164</v>
      </c>
      <c r="T62" s="275">
        <v>35</v>
      </c>
      <c r="U62" s="218"/>
    </row>
    <row r="63" spans="1:21" ht="50.1" customHeight="1" x14ac:dyDescent="0.2">
      <c r="A63" s="503" t="s">
        <v>47</v>
      </c>
      <c r="B63" s="504" t="str">
        <f>VLOOKUP(A63,'2-Inventário de Necessidades'!$A$2:$B$63,2,0)</f>
        <v>GOVERNANÇA E GESTÃO DE TI</v>
      </c>
      <c r="C63" s="504" t="str">
        <f>VLOOKUP(A63,'2-Inventário de Necessidades'!$A$2:$C$63,3,0)</f>
        <v>Implantação de Comitê Estratégico de TI</v>
      </c>
      <c r="D63" s="505" t="s">
        <v>1060</v>
      </c>
      <c r="E63" s="506" t="s">
        <v>49</v>
      </c>
      <c r="F63" s="507" t="s">
        <v>376</v>
      </c>
      <c r="G63" s="508">
        <v>2</v>
      </c>
      <c r="H63" s="509" t="str">
        <f t="shared" si="4"/>
        <v>4 meses</v>
      </c>
      <c r="I63" s="510">
        <v>42583</v>
      </c>
      <c r="J63" s="510">
        <v>42675</v>
      </c>
      <c r="K63" s="511">
        <v>42675</v>
      </c>
      <c r="L63" s="511">
        <v>42705</v>
      </c>
      <c r="M63" s="509" t="str">
        <f t="shared" ca="1" si="5"/>
        <v>1 meses</v>
      </c>
      <c r="N63" s="512" t="s">
        <v>295</v>
      </c>
      <c r="O63" s="513">
        <f>IF(ISERROR(VLOOKUP(D63,'4-Investimento-Custeio'!$B$3:$I$39,8,0))=TRUE, 0, VLOOKUP(D63,'4-Investimento-Custeio'!$B$3:$I$39,8,0))</f>
        <v>0</v>
      </c>
      <c r="P63" s="514">
        <v>0</v>
      </c>
      <c r="Q63" s="515" t="str">
        <f t="shared" si="6"/>
        <v>Concluído</v>
      </c>
      <c r="R63" s="516">
        <f t="shared" si="7"/>
        <v>1</v>
      </c>
      <c r="S63" s="515" t="s">
        <v>1164</v>
      </c>
      <c r="T63" s="275">
        <v>36</v>
      </c>
      <c r="U63" s="218"/>
    </row>
    <row r="64" spans="1:21" ht="50.1" customHeight="1" x14ac:dyDescent="0.2">
      <c r="A64" s="503" t="s">
        <v>54</v>
      </c>
      <c r="B64" s="504" t="str">
        <f>VLOOKUP(A64,'2-Inventário de Necessidades'!$A$2:$B$63,2,0)</f>
        <v>PESSOAL DE TI</v>
      </c>
      <c r="C64" s="504" t="str">
        <f>VLOOKUP(A64,'2-Inventário de Necessidades'!$A$2:$C$63,3,0)</f>
        <v>Ampliação e valorização do quadro de servidores de TI.</v>
      </c>
      <c r="D64" s="505" t="s">
        <v>1073</v>
      </c>
      <c r="E64" s="506" t="s">
        <v>816</v>
      </c>
      <c r="F64" s="507" t="s">
        <v>220</v>
      </c>
      <c r="G64" s="508">
        <v>2</v>
      </c>
      <c r="H64" s="509" t="str">
        <f t="shared" si="4"/>
        <v>5 a 6 meses</v>
      </c>
      <c r="I64" s="510"/>
      <c r="J64" s="510"/>
      <c r="K64" s="511">
        <v>42522</v>
      </c>
      <c r="L64" s="511">
        <v>42705</v>
      </c>
      <c r="M64" s="509" t="str">
        <f t="shared" ca="1" si="5"/>
        <v>7 meses</v>
      </c>
      <c r="N64" s="512" t="s">
        <v>295</v>
      </c>
      <c r="O64" s="513">
        <f>IF(ISERROR(VLOOKUP(D64,'4-Investimento-Custeio'!$B$3:$I$39,8,0))=TRUE, 0, VLOOKUP(D64,'4-Investimento-Custeio'!$B$3:$I$39,8,0))</f>
        <v>0</v>
      </c>
      <c r="P64" s="514">
        <v>0</v>
      </c>
      <c r="Q64" s="515" t="str">
        <f t="shared" si="6"/>
        <v>Concluído</v>
      </c>
      <c r="R64" s="516">
        <f t="shared" si="7"/>
        <v>1</v>
      </c>
      <c r="S64" s="515" t="s">
        <v>1164</v>
      </c>
      <c r="T64" s="275">
        <v>41</v>
      </c>
      <c r="U64" s="218"/>
    </row>
    <row r="65" spans="1:21" ht="50.1" customHeight="1" x14ac:dyDescent="0.2">
      <c r="A65" s="503" t="s">
        <v>134</v>
      </c>
      <c r="B65" s="504" t="str">
        <f>VLOOKUP(A65,'2-Inventário de Necessidades'!$A$2:$B$63,2,0)</f>
        <v>GOVERNANÇA E GESTÃO DE TI</v>
      </c>
      <c r="C65" s="504" t="str">
        <f>VLOOKUP(A65,'2-Inventário de Necessidades'!$A$2:$C$63,3,0)</f>
        <v>Criação e publicação de normativo estabelecendo as competências das unidades de TI</v>
      </c>
      <c r="D65" s="505" t="s">
        <v>1088</v>
      </c>
      <c r="E65" s="506" t="s">
        <v>135</v>
      </c>
      <c r="F65" s="507" t="s">
        <v>220</v>
      </c>
      <c r="G65" s="508">
        <v>3</v>
      </c>
      <c r="H65" s="509" t="str">
        <f t="shared" si="4"/>
        <v>8 a 9 meses</v>
      </c>
      <c r="I65" s="510"/>
      <c r="J65" s="510"/>
      <c r="K65" s="511">
        <v>42583</v>
      </c>
      <c r="L65" s="511">
        <v>42614</v>
      </c>
      <c r="M65" s="509" t="str">
        <f t="shared" ca="1" si="5"/>
        <v>2 meses</v>
      </c>
      <c r="N65" s="512" t="s">
        <v>295</v>
      </c>
      <c r="O65" s="513">
        <f>IF(ISERROR(VLOOKUP(D65,'4-Investimento-Custeio'!$B$3:$I$39,8,0))=TRUE, 0, VLOOKUP(D65,'4-Investimento-Custeio'!$B$3:$I$39,8,0))</f>
        <v>0</v>
      </c>
      <c r="P65" s="514">
        <v>0</v>
      </c>
      <c r="Q65" s="515" t="str">
        <f t="shared" si="6"/>
        <v>Concluído</v>
      </c>
      <c r="R65" s="516">
        <f t="shared" si="7"/>
        <v>1</v>
      </c>
      <c r="S65" s="515" t="s">
        <v>1164</v>
      </c>
      <c r="T65" s="275">
        <v>103</v>
      </c>
      <c r="U65" s="218"/>
    </row>
    <row r="66" spans="1:21" ht="50.1" customHeight="1" x14ac:dyDescent="0.2">
      <c r="A66" s="503" t="s">
        <v>140</v>
      </c>
      <c r="B66" s="504" t="str">
        <f>VLOOKUP(A66,'2-Inventário de Necessidades'!$A$2:$B$63,2,0)</f>
        <v>SERVIÇOS DE TI</v>
      </c>
      <c r="C66" s="504" t="str">
        <f>VLOOKUP(A66,'2-Inventário de Necessidades'!$A$2:$C$63,3,0)</f>
        <v>Viabilização do intercâmbio de informações de interesse com outros orgãos da Administração Pública</v>
      </c>
      <c r="D66" s="505" t="s">
        <v>1015</v>
      </c>
      <c r="E66" s="506" t="s">
        <v>1095</v>
      </c>
      <c r="F66" s="507" t="s">
        <v>220</v>
      </c>
      <c r="G66" s="508">
        <v>8</v>
      </c>
      <c r="H66" s="509" t="str">
        <f t="shared" si="4"/>
        <v>Superior a 2 ano(s)</v>
      </c>
      <c r="I66" s="510"/>
      <c r="J66" s="510"/>
      <c r="K66" s="511">
        <v>42491</v>
      </c>
      <c r="L66" s="511">
        <v>42675</v>
      </c>
      <c r="M66" s="509" t="str">
        <f t="shared" ca="1" si="5"/>
        <v>7 meses</v>
      </c>
      <c r="N66" s="512" t="s">
        <v>295</v>
      </c>
      <c r="O66" s="513">
        <f>IF(ISERROR(VLOOKUP(D66,'4-Investimento-Custeio'!$B$3:$I$39,8,0))=TRUE, 0, VLOOKUP(D66,'4-Investimento-Custeio'!$B$3:$I$39,8,0))</f>
        <v>0</v>
      </c>
      <c r="P66" s="514">
        <v>0</v>
      </c>
      <c r="Q66" s="515" t="str">
        <f t="shared" si="6"/>
        <v>Concluído</v>
      </c>
      <c r="R66" s="516">
        <f t="shared" si="7"/>
        <v>1</v>
      </c>
      <c r="S66" s="515" t="s">
        <v>1164</v>
      </c>
      <c r="T66" s="275">
        <v>105</v>
      </c>
      <c r="U66" s="218"/>
    </row>
    <row r="67" spans="1:21" ht="50.1" customHeight="1" x14ac:dyDescent="0.2">
      <c r="A67" s="503" t="s">
        <v>5</v>
      </c>
      <c r="B67" s="504" t="str">
        <f>VLOOKUP(A67,'2-Inventário de Necessidades'!$A$2:$B$63,2,0)</f>
        <v>INFRAESTRUTURA DE TI</v>
      </c>
      <c r="C67" s="504" t="str">
        <f>VLOOKUP(A67,'2-Inventário de Necessidades'!$A$2:$C$63,3,0)</f>
        <v>Modernização do parque tecnológico</v>
      </c>
      <c r="D67" s="505" t="s">
        <v>74</v>
      </c>
      <c r="E67" s="506" t="s">
        <v>75</v>
      </c>
      <c r="F67" s="507" t="s">
        <v>825</v>
      </c>
      <c r="G67" s="508">
        <v>1</v>
      </c>
      <c r="H67" s="509" t="str">
        <f t="shared" ref="H67:H81" si="8">IF(
 ROUNDUP(SUM((J67-I67)/30),0)&gt;0,
 CONCATENATE(ROUNDUP(SUM((J67-I67)/30),0)," meses"),
  IF((G67*3)&lt;5,
  CONCATENATE(((G67*3)-1)," a ",G67*3," meses"),
   IF((G67*3)&gt;11,
   CONCATENATE("Superior a ", SUM((G67*3)/12)," ano(s)"),
   CONCATENATE(((G67*3)-1)," a ",G67*3," meses")
   )
  )
 )</f>
        <v>2 a 3 meses</v>
      </c>
      <c r="I67" s="510"/>
      <c r="J67" s="510"/>
      <c r="K67" s="511">
        <v>42644</v>
      </c>
      <c r="L67" s="511">
        <v>42705</v>
      </c>
      <c r="M67" s="509" t="str">
        <f t="shared" ref="M67:M98" ca="1" si="9">IF(K67="", "-",CONCATENATE(ROUNDUP(SUM(((IF(L67="",TODAY(),L67))-K67)/30),0)," meses"))</f>
        <v>3 meses</v>
      </c>
      <c r="N67" s="512" t="s">
        <v>296</v>
      </c>
      <c r="O67" s="513">
        <f>IF(ISERROR(VLOOKUP(D67,'4-Investimento-Custeio'!$B$3:$I$39,8,0))=TRUE, 0, VLOOKUP(D67,'4-Investimento-Custeio'!$B$3:$I$39,8,0))</f>
        <v>100000</v>
      </c>
      <c r="P67" s="514">
        <v>124200</v>
      </c>
      <c r="Q67" s="515" t="str">
        <f t="shared" ref="Q67:Q98" si="10">IF(K67="","Não Iniciado",IF(L67="","Em andamento","Concluído"))</f>
        <v>Concluído</v>
      </c>
      <c r="R67" s="516">
        <f t="shared" ref="R67:R98" si="11">IF(L67="",0,1)</f>
        <v>1</v>
      </c>
      <c r="S67" s="515" t="s">
        <v>1164</v>
      </c>
      <c r="T67" s="275">
        <v>55</v>
      </c>
      <c r="U67" s="218"/>
    </row>
    <row r="68" spans="1:21" ht="50.1" customHeight="1" x14ac:dyDescent="0.2">
      <c r="A68" s="503" t="s">
        <v>32</v>
      </c>
      <c r="B68" s="504" t="str">
        <f>VLOOKUP(A68,'2-Inventário de Necessidades'!$A$2:$B$63,2,0)</f>
        <v>INFRAESTRUTURA DE TI</v>
      </c>
      <c r="C68" s="504" t="str">
        <f>VLOOKUP(A68,'2-Inventário de Necessidades'!$A$2:$C$63,3,0)</f>
        <v>Manutenção, ampliação e melhoria da infraestrutura de TI e da 
rede de comunicação</v>
      </c>
      <c r="D68" s="505" t="s">
        <v>300</v>
      </c>
      <c r="E68" s="506" t="s">
        <v>43</v>
      </c>
      <c r="F68" s="507" t="s">
        <v>220</v>
      </c>
      <c r="G68" s="508">
        <v>1</v>
      </c>
      <c r="H68" s="509" t="str">
        <f t="shared" si="8"/>
        <v>2 a 3 meses</v>
      </c>
      <c r="I68" s="510"/>
      <c r="J68" s="510"/>
      <c r="K68" s="511">
        <v>42644</v>
      </c>
      <c r="L68" s="511">
        <v>42705</v>
      </c>
      <c r="M68" s="509" t="str">
        <f t="shared" ca="1" si="9"/>
        <v>3 meses</v>
      </c>
      <c r="N68" s="512" t="s">
        <v>296</v>
      </c>
      <c r="O68" s="513">
        <f>IF(ISERROR(VLOOKUP(D68,'4-Investimento-Custeio'!$B$3:$I$39,8,0))=TRUE, 0, VLOOKUP(D68,'4-Investimento-Custeio'!$B$3:$I$39,8,0))</f>
        <v>50000</v>
      </c>
      <c r="P68" s="514">
        <v>147000</v>
      </c>
      <c r="Q68" s="515" t="str">
        <f t="shared" si="10"/>
        <v>Concluído</v>
      </c>
      <c r="R68" s="516">
        <f t="shared" si="11"/>
        <v>1</v>
      </c>
      <c r="S68" s="515" t="s">
        <v>1164</v>
      </c>
      <c r="T68" s="275">
        <v>31</v>
      </c>
      <c r="U68" s="218"/>
    </row>
    <row r="69" spans="1:21" ht="50.1" customHeight="1" x14ac:dyDescent="0.2">
      <c r="A69" s="503" t="s">
        <v>32</v>
      </c>
      <c r="B69" s="504" t="str">
        <f>VLOOKUP(A69,'2-Inventário de Necessidades'!$A$2:$B$63,2,0)</f>
        <v>INFRAESTRUTURA DE TI</v>
      </c>
      <c r="C69" s="504" t="str">
        <f>VLOOKUP(A69,'2-Inventário de Necessidades'!$A$2:$C$63,3,0)</f>
        <v>Manutenção, ampliação e melhoria da infraestrutura de TI e da 
rede de comunicação</v>
      </c>
      <c r="D69" s="505" t="s">
        <v>39</v>
      </c>
      <c r="E69" s="506" t="s">
        <v>38</v>
      </c>
      <c r="F69" s="507" t="s">
        <v>220</v>
      </c>
      <c r="G69" s="508">
        <v>1</v>
      </c>
      <c r="H69" s="509" t="str">
        <f t="shared" si="8"/>
        <v>2 a 3 meses</v>
      </c>
      <c r="I69" s="510"/>
      <c r="J69" s="510"/>
      <c r="K69" s="511">
        <v>42644</v>
      </c>
      <c r="L69" s="511">
        <v>42705</v>
      </c>
      <c r="M69" s="509" t="str">
        <f t="shared" ca="1" si="9"/>
        <v>3 meses</v>
      </c>
      <c r="N69" s="512" t="s">
        <v>296</v>
      </c>
      <c r="O69" s="513">
        <f>IF(ISERROR(VLOOKUP(D69,'4-Investimento-Custeio'!$B$3:$I$39,8,0))=TRUE, 0, VLOOKUP(D69,'4-Investimento-Custeio'!$B$3:$I$39,8,0))</f>
        <v>130000</v>
      </c>
      <c r="P69" s="514">
        <f>243611.49+9596.72</f>
        <v>253208.21</v>
      </c>
      <c r="Q69" s="515" t="str">
        <f t="shared" si="10"/>
        <v>Concluído</v>
      </c>
      <c r="R69" s="516">
        <f t="shared" si="11"/>
        <v>1</v>
      </c>
      <c r="S69" s="515" t="s">
        <v>1164</v>
      </c>
      <c r="T69" s="275">
        <v>24</v>
      </c>
      <c r="U69" s="218"/>
    </row>
    <row r="70" spans="1:21" ht="50.1" customHeight="1" x14ac:dyDescent="0.2">
      <c r="A70" s="503" t="s">
        <v>32</v>
      </c>
      <c r="B70" s="504" t="str">
        <f>VLOOKUP(A70,'2-Inventário de Necessidades'!$A$2:$B$63,2,0)</f>
        <v>INFRAESTRUTURA DE TI</v>
      </c>
      <c r="C70" s="504" t="str">
        <f>VLOOKUP(A70,'2-Inventário de Necessidades'!$A$2:$C$63,3,0)</f>
        <v>Manutenção, ampliação e melhoria da infraestrutura de TI e da 
rede de comunicação</v>
      </c>
      <c r="D70" s="505" t="s">
        <v>37</v>
      </c>
      <c r="E70" s="506" t="s">
        <v>36</v>
      </c>
      <c r="F70" s="507" t="s">
        <v>220</v>
      </c>
      <c r="G70" s="508">
        <v>1</v>
      </c>
      <c r="H70" s="509" t="str">
        <f t="shared" si="8"/>
        <v>2 a 3 meses</v>
      </c>
      <c r="I70" s="510"/>
      <c r="J70" s="510"/>
      <c r="K70" s="511">
        <v>42644</v>
      </c>
      <c r="L70" s="511">
        <v>42705</v>
      </c>
      <c r="M70" s="509" t="str">
        <f t="shared" ca="1" si="9"/>
        <v>3 meses</v>
      </c>
      <c r="N70" s="512" t="s">
        <v>296</v>
      </c>
      <c r="O70" s="513">
        <f>IF(ISERROR(VLOOKUP(D70,'4-Investimento-Custeio'!$B$3:$I$39,8,0))=TRUE, 0, VLOOKUP(D70,'4-Investimento-Custeio'!$B$3:$I$39,8,0))</f>
        <v>200000</v>
      </c>
      <c r="P70" s="514">
        <v>1108052</v>
      </c>
      <c r="Q70" s="515" t="str">
        <f t="shared" si="10"/>
        <v>Concluído</v>
      </c>
      <c r="R70" s="516">
        <f t="shared" si="11"/>
        <v>1</v>
      </c>
      <c r="S70" s="515" t="s">
        <v>1164</v>
      </c>
      <c r="T70" s="275">
        <v>23</v>
      </c>
      <c r="U70" s="218"/>
    </row>
    <row r="71" spans="1:21" ht="50.1" customHeight="1" x14ac:dyDescent="0.2">
      <c r="A71" s="503" t="s">
        <v>98</v>
      </c>
      <c r="B71" s="504" t="str">
        <f>VLOOKUP(A71,'2-Inventário de Necessidades'!$A$2:$B$63,2,0)</f>
        <v>INFRAESTRUTURA DE TI</v>
      </c>
      <c r="C71" s="504" t="str">
        <f>VLOOKUP(A71,'2-Inventário de Necessidades'!$A$2:$C$63,3,0)</f>
        <v>Sustentação da infraestrutura de TI da nova sede</v>
      </c>
      <c r="D71" s="505" t="s">
        <v>99</v>
      </c>
      <c r="E71" s="506" t="s">
        <v>1110</v>
      </c>
      <c r="F71" s="507" t="s">
        <v>220</v>
      </c>
      <c r="G71" s="508">
        <v>2</v>
      </c>
      <c r="H71" s="509" t="str">
        <f t="shared" si="8"/>
        <v>6 meses</v>
      </c>
      <c r="I71" s="510">
        <v>42552</v>
      </c>
      <c r="J71" s="510">
        <v>42705</v>
      </c>
      <c r="K71" s="511">
        <v>42583</v>
      </c>
      <c r="L71" s="511">
        <v>42705</v>
      </c>
      <c r="M71" s="509" t="str">
        <f t="shared" ca="1" si="9"/>
        <v>5 meses</v>
      </c>
      <c r="N71" s="512" t="s">
        <v>296</v>
      </c>
      <c r="O71" s="513">
        <f>IF(ISERROR(VLOOKUP(D71,'4-Investimento-Custeio'!$B$3:$I$39,8,0))=TRUE, 0, VLOOKUP(D71,'4-Investimento-Custeio'!$B$3:$I$39,8,0))</f>
        <v>1000000</v>
      </c>
      <c r="P71" s="514">
        <f>1600180-P72</f>
        <v>-320820</v>
      </c>
      <c r="Q71" s="515" t="str">
        <f t="shared" si="10"/>
        <v>Concluído</v>
      </c>
      <c r="R71" s="516">
        <f t="shared" si="11"/>
        <v>1</v>
      </c>
      <c r="S71" s="515" t="s">
        <v>1164</v>
      </c>
      <c r="T71" s="275">
        <v>76</v>
      </c>
      <c r="U71" s="218"/>
    </row>
    <row r="72" spans="1:21" ht="50.1" customHeight="1" x14ac:dyDescent="0.2">
      <c r="A72" s="503" t="s">
        <v>5</v>
      </c>
      <c r="B72" s="504" t="str">
        <f>VLOOKUP(A72,'2-Inventário de Necessidades'!$A$2:$B$63,2,0)</f>
        <v>INFRAESTRUTURA DE TI</v>
      </c>
      <c r="C72" s="504" t="str">
        <f>VLOOKUP(A72,'2-Inventário de Necessidades'!$A$2:$C$63,3,0)</f>
        <v>Modernização do parque tecnológico</v>
      </c>
      <c r="D72" s="505" t="s">
        <v>72</v>
      </c>
      <c r="E72" s="506" t="s">
        <v>73</v>
      </c>
      <c r="F72" s="507" t="s">
        <v>825</v>
      </c>
      <c r="G72" s="508">
        <v>1</v>
      </c>
      <c r="H72" s="509" t="str">
        <f t="shared" si="8"/>
        <v>2 a 3 meses</v>
      </c>
      <c r="I72" s="510"/>
      <c r="J72" s="510"/>
      <c r="K72" s="511">
        <v>42522</v>
      </c>
      <c r="L72" s="511">
        <v>42705</v>
      </c>
      <c r="M72" s="509" t="str">
        <f t="shared" ca="1" si="9"/>
        <v>7 meses</v>
      </c>
      <c r="N72" s="512" t="s">
        <v>296</v>
      </c>
      <c r="O72" s="513">
        <f>IF(ISERROR(VLOOKUP(D72,'4-Investimento-Custeio'!$B$3:$I$39,8,0))=TRUE, 0, VLOOKUP(D72,'4-Investimento-Custeio'!$B$3:$I$39,8,0))</f>
        <v>850000</v>
      </c>
      <c r="P72" s="514">
        <f>1003000+918000-P80</f>
        <v>1921000</v>
      </c>
      <c r="Q72" s="515" t="str">
        <f t="shared" si="10"/>
        <v>Concluído</v>
      </c>
      <c r="R72" s="516">
        <f t="shared" si="11"/>
        <v>1</v>
      </c>
      <c r="S72" s="515" t="s">
        <v>1164</v>
      </c>
      <c r="T72" s="275">
        <v>54</v>
      </c>
      <c r="U72" s="218"/>
    </row>
    <row r="73" spans="1:21" ht="50.1" customHeight="1" x14ac:dyDescent="0.2">
      <c r="A73" s="517" t="s">
        <v>15</v>
      </c>
      <c r="B73" s="518" t="str">
        <f>VLOOKUP(A73,'2-Inventário de Necessidades'!$A$2:$B$63,2,0)</f>
        <v>SISTEMAS DE INFORMAÇÃO</v>
      </c>
      <c r="C73" s="518" t="str">
        <f>VLOOKUP(A73,'2-Inventário de Necessidades'!$A$2:$C$63,3,0)</f>
        <v>Viabilização de solução para atender à Nova Contabilidade do Setor Público</v>
      </c>
      <c r="D73" s="519" t="s">
        <v>1023</v>
      </c>
      <c r="E73" s="520" t="s">
        <v>761</v>
      </c>
      <c r="F73" s="521" t="s">
        <v>380</v>
      </c>
      <c r="G73" s="522">
        <v>3</v>
      </c>
      <c r="H73" s="523" t="str">
        <f t="shared" si="8"/>
        <v>18 meses</v>
      </c>
      <c r="I73" s="524">
        <v>42248</v>
      </c>
      <c r="J73" s="524">
        <v>42767</v>
      </c>
      <c r="K73" s="525">
        <v>42370</v>
      </c>
      <c r="L73" s="525">
        <v>42795</v>
      </c>
      <c r="M73" s="523" t="str">
        <f t="shared" ca="1" si="9"/>
        <v>15 meses</v>
      </c>
      <c r="N73" s="526" t="s">
        <v>841</v>
      </c>
      <c r="O73" s="527">
        <f>IF(ISERROR(VLOOKUP(D73,'4-Investimento-Custeio'!$B$3:$I$39,8,0))=TRUE, 0, VLOOKUP(D73,'4-Investimento-Custeio'!$B$3:$I$39,8,0))</f>
        <v>0</v>
      </c>
      <c r="P73" s="528">
        <v>0</v>
      </c>
      <c r="Q73" s="529" t="str">
        <f t="shared" si="10"/>
        <v>Concluído</v>
      </c>
      <c r="R73" s="530">
        <f t="shared" si="11"/>
        <v>1</v>
      </c>
      <c r="S73" s="529" t="s">
        <v>1165</v>
      </c>
      <c r="T73" s="275">
        <v>3</v>
      </c>
      <c r="U73" s="218"/>
    </row>
    <row r="74" spans="1:21" ht="50.1" customHeight="1" x14ac:dyDescent="0.2">
      <c r="A74" s="517" t="s">
        <v>92</v>
      </c>
      <c r="B74" s="518" t="str">
        <f>VLOOKUP(A74,'2-Inventário de Necessidades'!$A$2:$B$63,2,0)</f>
        <v>SISTEMAS DE INFORMAÇÃO</v>
      </c>
      <c r="C74" s="518" t="str">
        <f>VLOOKUP(A74,'2-Inventário de Necessidades'!$A$2:$C$63,3,0)</f>
        <v>Implantação do novo sistema para atender ao artigo 30 da CE.</v>
      </c>
      <c r="D74" s="519" t="s">
        <v>988</v>
      </c>
      <c r="E74" s="520" t="s">
        <v>788</v>
      </c>
      <c r="F74" s="521" t="s">
        <v>376</v>
      </c>
      <c r="G74" s="522">
        <v>1</v>
      </c>
      <c r="H74" s="523" t="str">
        <f t="shared" si="8"/>
        <v>2 meses</v>
      </c>
      <c r="I74" s="524">
        <v>42370</v>
      </c>
      <c r="J74" s="524">
        <v>42430</v>
      </c>
      <c r="K74" s="525">
        <v>42795</v>
      </c>
      <c r="L74" s="525">
        <v>42795</v>
      </c>
      <c r="M74" s="523" t="str">
        <f t="shared" ca="1" si="9"/>
        <v>0 meses</v>
      </c>
      <c r="N74" s="526" t="s">
        <v>295</v>
      </c>
      <c r="O74" s="527">
        <f>IF(ISERROR(VLOOKUP(D74,'4-Investimento-Custeio'!$B$3:$I$39,8,0))=TRUE, 0, VLOOKUP(D74,'4-Investimento-Custeio'!$B$3:$I$39,8,0))</f>
        <v>0</v>
      </c>
      <c r="P74" s="528">
        <v>0</v>
      </c>
      <c r="Q74" s="529" t="str">
        <f t="shared" si="10"/>
        <v>Concluído</v>
      </c>
      <c r="R74" s="530">
        <f t="shared" si="11"/>
        <v>1</v>
      </c>
      <c r="S74" s="529" t="s">
        <v>1165</v>
      </c>
      <c r="T74" s="275">
        <v>68</v>
      </c>
      <c r="U74" s="218"/>
    </row>
    <row r="75" spans="1:21" ht="50.1" customHeight="1" x14ac:dyDescent="0.2">
      <c r="A75" s="517" t="s">
        <v>92</v>
      </c>
      <c r="B75" s="518" t="str">
        <f>VLOOKUP(A75,'2-Inventário de Necessidades'!$A$2:$B$63,2,0)</f>
        <v>SISTEMAS DE INFORMAÇÃO</v>
      </c>
      <c r="C75" s="518" t="str">
        <f>VLOOKUP(A75,'2-Inventário de Necessidades'!$A$2:$C$63,3,0)</f>
        <v>Implantação do novo sistema para atender ao artigo 30 da CE.</v>
      </c>
      <c r="D75" s="519" t="s">
        <v>1079</v>
      </c>
      <c r="E75" s="520" t="s">
        <v>787</v>
      </c>
      <c r="F75" s="521" t="s">
        <v>380</v>
      </c>
      <c r="G75" s="522">
        <v>1</v>
      </c>
      <c r="H75" s="523" t="str">
        <f t="shared" si="8"/>
        <v>2 meses</v>
      </c>
      <c r="I75" s="524">
        <v>42370</v>
      </c>
      <c r="J75" s="524">
        <v>42430</v>
      </c>
      <c r="K75" s="525">
        <v>42781</v>
      </c>
      <c r="L75" s="525">
        <v>42795</v>
      </c>
      <c r="M75" s="523" t="str">
        <f t="shared" ca="1" si="9"/>
        <v>1 meses</v>
      </c>
      <c r="N75" s="526" t="s">
        <v>295</v>
      </c>
      <c r="O75" s="527">
        <f>IF(ISERROR(VLOOKUP(D75,'4-Investimento-Custeio'!$B$3:$I$39,8,0))=TRUE, 0, VLOOKUP(D75,'4-Investimento-Custeio'!$B$3:$I$39,8,0))</f>
        <v>0</v>
      </c>
      <c r="P75" s="528">
        <v>0</v>
      </c>
      <c r="Q75" s="529" t="str">
        <f t="shared" si="10"/>
        <v>Concluído</v>
      </c>
      <c r="R75" s="530">
        <f t="shared" si="11"/>
        <v>1</v>
      </c>
      <c r="S75" s="529" t="s">
        <v>1165</v>
      </c>
      <c r="T75" s="275">
        <v>69</v>
      </c>
      <c r="U75" s="218"/>
    </row>
    <row r="76" spans="1:21" ht="50.1" customHeight="1" x14ac:dyDescent="0.2">
      <c r="A76" s="517" t="s">
        <v>136</v>
      </c>
      <c r="B76" s="518" t="str">
        <f>VLOOKUP(A76,'2-Inventário de Necessidades'!$A$2:$B$63,2,0)</f>
        <v>SERVIÇOS DE TI</v>
      </c>
      <c r="C76" s="518" t="str">
        <f>VLOOKUP(A76,'2-Inventário de Necessidades'!$A$2:$C$63,3,0)</f>
        <v>Aprimoramento do Serviço de Email Corporativo</v>
      </c>
      <c r="D76" s="519" t="s">
        <v>138</v>
      </c>
      <c r="E76" s="520" t="s">
        <v>139</v>
      </c>
      <c r="F76" s="521" t="s">
        <v>220</v>
      </c>
      <c r="G76" s="522">
        <v>1</v>
      </c>
      <c r="H76" s="523" t="str">
        <f t="shared" si="8"/>
        <v>3 meses</v>
      </c>
      <c r="I76" s="524">
        <v>42614</v>
      </c>
      <c r="J76" s="524">
        <v>42675</v>
      </c>
      <c r="K76" s="525">
        <v>42675</v>
      </c>
      <c r="L76" s="525">
        <v>42795</v>
      </c>
      <c r="M76" s="523" t="str">
        <f t="shared" ca="1" si="9"/>
        <v>4 meses</v>
      </c>
      <c r="N76" s="526" t="s">
        <v>296</v>
      </c>
      <c r="O76" s="527">
        <f>IF(ISERROR(VLOOKUP(D76,'4-Investimento-Custeio'!$B$3:$I$39,8,0))=TRUE, 0, VLOOKUP(D76,'4-Investimento-Custeio'!$B$3:$I$39,8,0))</f>
        <v>120000</v>
      </c>
      <c r="P76" s="528">
        <v>70570</v>
      </c>
      <c r="Q76" s="529" t="str">
        <f t="shared" si="10"/>
        <v>Concluído</v>
      </c>
      <c r="R76" s="530">
        <f t="shared" si="11"/>
        <v>1</v>
      </c>
      <c r="S76" s="529" t="s">
        <v>1165</v>
      </c>
      <c r="T76" s="275">
        <v>104</v>
      </c>
      <c r="U76" s="218"/>
    </row>
    <row r="77" spans="1:21" ht="59.25" customHeight="1" x14ac:dyDescent="0.2">
      <c r="A77" s="517" t="s">
        <v>32</v>
      </c>
      <c r="B77" s="518" t="str">
        <f>VLOOKUP(A77,'2-Inventário de Necessidades'!$A$2:$B$63,2,0)</f>
        <v>INFRAESTRUTURA DE TI</v>
      </c>
      <c r="C77" s="518" t="str">
        <f>VLOOKUP(A77,'2-Inventário de Necessidades'!$A$2:$C$63,3,0)</f>
        <v>Manutenção, ampliação e melhoria da infraestrutura de TI e da 
rede de comunicação</v>
      </c>
      <c r="D77" s="519" t="s">
        <v>41</v>
      </c>
      <c r="E77" s="531" t="s">
        <v>40</v>
      </c>
      <c r="F77" s="532" t="s">
        <v>220</v>
      </c>
      <c r="G77" s="526">
        <v>1</v>
      </c>
      <c r="H77" s="523" t="str">
        <f t="shared" si="8"/>
        <v>2 a 3 meses</v>
      </c>
      <c r="I77" s="524"/>
      <c r="J77" s="524"/>
      <c r="K77" s="524">
        <v>42736</v>
      </c>
      <c r="L77" s="524">
        <v>42795</v>
      </c>
      <c r="M77" s="523" t="str">
        <f t="shared" ca="1" si="9"/>
        <v>2 meses</v>
      </c>
      <c r="N77" s="526" t="s">
        <v>296</v>
      </c>
      <c r="O77" s="527">
        <f>IF(ISERROR(VLOOKUP(D77,'4-Investimento-Custeio'!$B$3:$I$39,8,0))=TRUE, 0, VLOOKUP(D77,'4-Investimento-Custeio'!$B$3:$I$39,8,0))</f>
        <v>1000000</v>
      </c>
      <c r="P77" s="528">
        <v>360000</v>
      </c>
      <c r="Q77" s="529" t="str">
        <f t="shared" si="10"/>
        <v>Concluído</v>
      </c>
      <c r="R77" s="533">
        <f t="shared" si="11"/>
        <v>1</v>
      </c>
      <c r="S77" s="529" t="s">
        <v>1165</v>
      </c>
      <c r="T77" s="275">
        <v>25</v>
      </c>
      <c r="U77" s="218"/>
    </row>
    <row r="78" spans="1:21" ht="50.1" customHeight="1" x14ac:dyDescent="0.2">
      <c r="A78" s="423" t="s">
        <v>65</v>
      </c>
      <c r="B78" s="424" t="str">
        <f>VLOOKUP(A78,'2-Inventário de Necessidades'!$A$2:$B$63,2,0)</f>
        <v>SISTEMAS DE INFORMAÇÃO</v>
      </c>
      <c r="C78" s="424" t="str">
        <f>VLOOKUP(A78,'2-Inventário de Necessidades'!$A$2:$C$63,3,0)</f>
        <v>Conclusão da implantação de processo eletrônico</v>
      </c>
      <c r="D78" s="425" t="s">
        <v>1051</v>
      </c>
      <c r="E78" s="426" t="s">
        <v>389</v>
      </c>
      <c r="F78" s="427" t="s">
        <v>220</v>
      </c>
      <c r="G78" s="428">
        <v>3</v>
      </c>
      <c r="H78" s="428" t="str">
        <f t="shared" si="8"/>
        <v>4 meses</v>
      </c>
      <c r="I78" s="429">
        <f>VLOOKUP($D78,'REVISÃO 2017-1 - PRIORIZAÇÃO'!$D$2:$O$95,11,0)</f>
        <v>42736</v>
      </c>
      <c r="J78" s="429">
        <f>VLOOKUP($D78,'REVISÃO 2017-1 - PRIORIZAÇÃO'!$D$2:$O$95,12,0)</f>
        <v>42856</v>
      </c>
      <c r="K78" s="429">
        <v>42736</v>
      </c>
      <c r="L78" s="429">
        <v>42826</v>
      </c>
      <c r="M78" s="450" t="str">
        <f t="shared" ca="1" si="9"/>
        <v>3 meses</v>
      </c>
      <c r="N78" s="428" t="s">
        <v>295</v>
      </c>
      <c r="O78" s="444">
        <f>IF(ISERROR(VLOOKUP(D78,'4-Investimento-Custeio'!$B$3:$I$39,8,0))=TRUE, 0, VLOOKUP(D78,'4-Investimento-Custeio'!$B$3:$I$39,8,0))</f>
        <v>0</v>
      </c>
      <c r="P78" s="430">
        <v>0</v>
      </c>
      <c r="Q78" s="431" t="str">
        <f t="shared" si="10"/>
        <v>Concluído</v>
      </c>
      <c r="R78" s="432">
        <f t="shared" si="11"/>
        <v>1</v>
      </c>
      <c r="S78" s="431" t="s">
        <v>1391</v>
      </c>
      <c r="T78" s="275">
        <v>49</v>
      </c>
      <c r="U78" s="218"/>
    </row>
    <row r="79" spans="1:21" ht="50.1" customHeight="1" x14ac:dyDescent="0.2">
      <c r="A79" s="423" t="s">
        <v>65</v>
      </c>
      <c r="B79" s="424" t="str">
        <f>VLOOKUP(A79,'2-Inventário de Necessidades'!$A$2:$B$63,2,0)</f>
        <v>SISTEMAS DE INFORMAÇÃO</v>
      </c>
      <c r="C79" s="424" t="str">
        <f>VLOOKUP(A79,'2-Inventário de Necessidades'!$A$2:$C$63,3,0)</f>
        <v>Conclusão da implantação de processo eletrônico</v>
      </c>
      <c r="D79" s="425" t="s">
        <v>986</v>
      </c>
      <c r="E79" s="426" t="s">
        <v>390</v>
      </c>
      <c r="F79" s="427" t="s">
        <v>376</v>
      </c>
      <c r="G79" s="428">
        <v>3</v>
      </c>
      <c r="H79" s="428" t="str">
        <f t="shared" si="8"/>
        <v>2 meses</v>
      </c>
      <c r="I79" s="429">
        <f>VLOOKUP($D79,'REVISÃO 2017-1 - PRIORIZAÇÃO'!$D$2:$O$95,11,0)</f>
        <v>42856</v>
      </c>
      <c r="J79" s="429">
        <f>VLOOKUP($D79,'REVISÃO 2017-1 - PRIORIZAÇÃO'!$D$2:$O$95,12,0)</f>
        <v>42887</v>
      </c>
      <c r="K79" s="429">
        <v>42767</v>
      </c>
      <c r="L79" s="429">
        <v>42826</v>
      </c>
      <c r="M79" s="450" t="str">
        <f t="shared" ca="1" si="9"/>
        <v>2 meses</v>
      </c>
      <c r="N79" s="428" t="s">
        <v>295</v>
      </c>
      <c r="O79" s="444">
        <f>IF(ISERROR(VLOOKUP(D79,'4-Investimento-Custeio'!$B$3:$I$39,8,0))=TRUE, 0, VLOOKUP(D79,'4-Investimento-Custeio'!$B$3:$I$39,8,0))</f>
        <v>0</v>
      </c>
      <c r="P79" s="430">
        <v>0</v>
      </c>
      <c r="Q79" s="431" t="str">
        <f t="shared" si="10"/>
        <v>Concluído</v>
      </c>
      <c r="R79" s="432">
        <f t="shared" si="11"/>
        <v>1</v>
      </c>
      <c r="S79" s="431" t="s">
        <v>1391</v>
      </c>
      <c r="T79" s="275">
        <v>50</v>
      </c>
      <c r="U79" s="218"/>
    </row>
    <row r="80" spans="1:21" ht="50.1" customHeight="1" x14ac:dyDescent="0.2">
      <c r="A80" s="423" t="s">
        <v>92</v>
      </c>
      <c r="B80" s="424" t="str">
        <f>VLOOKUP(A80,'2-Inventário de Necessidades'!$A$2:$B$63,2,0)</f>
        <v>SISTEMAS DE INFORMAÇÃO</v>
      </c>
      <c r="C80" s="424" t="str">
        <f>VLOOKUP(A80,'2-Inventário de Necessidades'!$A$2:$C$63,3,0)</f>
        <v>Implantação do novo sistema para atender ao artigo 30 da CE.</v>
      </c>
      <c r="D80" s="425" t="s">
        <v>1005</v>
      </c>
      <c r="E80" s="426" t="s">
        <v>785</v>
      </c>
      <c r="F80" s="427" t="s">
        <v>380</v>
      </c>
      <c r="G80" s="428">
        <v>1</v>
      </c>
      <c r="H80" s="428" t="str">
        <f t="shared" si="8"/>
        <v>2 meses</v>
      </c>
      <c r="I80" s="429">
        <f>VLOOKUP($D80,'REVISÃO 2017-1 - PRIORIZAÇÃO'!$D$2:$O$95,11,0)</f>
        <v>42856</v>
      </c>
      <c r="J80" s="429">
        <f>VLOOKUP($D80,'REVISÃO 2017-1 - PRIORIZAÇÃO'!$D$2:$O$95,12,0)</f>
        <v>42887</v>
      </c>
      <c r="K80" s="429">
        <v>42826</v>
      </c>
      <c r="L80" s="429">
        <v>42826</v>
      </c>
      <c r="M80" s="450" t="str">
        <f t="shared" ca="1" si="9"/>
        <v>0 meses</v>
      </c>
      <c r="N80" s="428" t="s">
        <v>841</v>
      </c>
      <c r="O80" s="444">
        <f>IF(ISERROR(VLOOKUP(D80,'4-Investimento-Custeio'!$B$3:$I$39,8,0))=TRUE, 0, VLOOKUP(D80,'4-Investimento-Custeio'!$B$3:$I$39,8,0))</f>
        <v>0</v>
      </c>
      <c r="P80" s="430">
        <v>0</v>
      </c>
      <c r="Q80" s="431" t="str">
        <f t="shared" si="10"/>
        <v>Concluído</v>
      </c>
      <c r="R80" s="432">
        <f t="shared" si="11"/>
        <v>1</v>
      </c>
      <c r="S80" s="431" t="s">
        <v>1391</v>
      </c>
      <c r="T80" s="275">
        <v>70</v>
      </c>
      <c r="U80" s="218"/>
    </row>
    <row r="81" spans="1:21" ht="50.1" customHeight="1" x14ac:dyDescent="0.2">
      <c r="A81" s="423" t="s">
        <v>94</v>
      </c>
      <c r="B81" s="424" t="str">
        <f>VLOOKUP(A81,'2-Inventário de Necessidades'!$A$2:$B$63,2,0)</f>
        <v>SISTEMAS DE INFORMAÇÃO</v>
      </c>
      <c r="C81" s="424" t="str">
        <f>VLOOKUP(A81,'2-Inventário de Necessidades'!$A$2:$C$63,3,0)</f>
        <v>Viabilizar solução de monitoramento de tramitação de autos processuais e produção de documentos</v>
      </c>
      <c r="D81" s="425" t="s">
        <v>1022</v>
      </c>
      <c r="E81" s="426" t="s">
        <v>96</v>
      </c>
      <c r="F81" s="427" t="s">
        <v>380</v>
      </c>
      <c r="G81" s="428">
        <v>2</v>
      </c>
      <c r="H81" s="428" t="str">
        <f t="shared" si="8"/>
        <v>5 meses</v>
      </c>
      <c r="I81" s="429">
        <f>VLOOKUP($D81,'REVISÃO 2017-1 - PRIORIZAÇÃO'!$D$2:$O$95,11,0)</f>
        <v>42856</v>
      </c>
      <c r="J81" s="429">
        <f>VLOOKUP($D81,'REVISÃO 2017-1 - PRIORIZAÇÃO'!$D$2:$O$95,12,0)</f>
        <v>42979</v>
      </c>
      <c r="K81" s="429">
        <v>42614</v>
      </c>
      <c r="L81" s="429">
        <v>42887</v>
      </c>
      <c r="M81" s="450" t="str">
        <f t="shared" ca="1" si="9"/>
        <v>10 meses</v>
      </c>
      <c r="N81" s="428" t="s">
        <v>841</v>
      </c>
      <c r="O81" s="444">
        <f>IF(ISERROR(VLOOKUP(D81,'4-Investimento-Custeio'!$B$3:$I$39,8,0))=TRUE, 0, VLOOKUP(D81,'4-Investimento-Custeio'!$B$3:$I$39,8,0))</f>
        <v>0</v>
      </c>
      <c r="P81" s="430">
        <v>0</v>
      </c>
      <c r="Q81" s="431" t="str">
        <f t="shared" si="10"/>
        <v>Concluído</v>
      </c>
      <c r="R81" s="432">
        <f t="shared" si="11"/>
        <v>1</v>
      </c>
      <c r="S81" s="431" t="s">
        <v>1391</v>
      </c>
      <c r="T81" s="275">
        <v>72</v>
      </c>
      <c r="U81" s="218" t="s">
        <v>1181</v>
      </c>
    </row>
    <row r="82" spans="1:21" ht="69.75" customHeight="1" x14ac:dyDescent="0.2">
      <c r="A82" s="433" t="str">
        <f>SUBSTITUTE(LEFT(D82,3),"A", "NC")</f>
        <v>NC31</v>
      </c>
      <c r="B82" s="434" t="str">
        <f>VLOOKUP(A82,'2-Inventário de Necessidades'!$A$2:$B$63,2,0)</f>
        <v>SISTEMAS DE INFORMAÇÃO</v>
      </c>
      <c r="C82" s="434" t="str">
        <f>VLOOKUP(A82,'2-Inventário de Necessidades'!$A$2:$C$63,3,0)</f>
        <v>Aprimoramento dos serviços do portal institucional do TCE-GO</v>
      </c>
      <c r="D82" s="435" t="s">
        <v>1129</v>
      </c>
      <c r="E82" s="426" t="s">
        <v>1130</v>
      </c>
      <c r="F82" s="436" t="s">
        <v>380</v>
      </c>
      <c r="G82" s="437"/>
      <c r="H82" s="534"/>
      <c r="I82" s="429">
        <f>VLOOKUP($D82,'REVISÃO 2017-1 - PRIORIZAÇÃO'!$D$2:$O$95,11,0)</f>
        <v>42856</v>
      </c>
      <c r="J82" s="429">
        <f>VLOOKUP($D82,'REVISÃO 2017-1 - PRIORIZAÇÃO'!$D$2:$O$95,12,0)</f>
        <v>42917</v>
      </c>
      <c r="K82" s="429">
        <v>42856</v>
      </c>
      <c r="L82" s="429">
        <v>42887</v>
      </c>
      <c r="M82" s="535" t="str">
        <f t="shared" ca="1" si="9"/>
        <v>2 meses</v>
      </c>
      <c r="N82" s="428" t="s">
        <v>841</v>
      </c>
      <c r="O82" s="536">
        <f>IF(ISERROR(VLOOKUP(D82,'4-Investimento-Custeio'!$B$3:$I$39,8,0))=TRUE, 0, VLOOKUP(D82,'4-Investimento-Custeio'!$B$3:$I$39,8,0))</f>
        <v>0</v>
      </c>
      <c r="P82" s="537">
        <v>0</v>
      </c>
      <c r="Q82" s="437" t="str">
        <f t="shared" si="10"/>
        <v>Concluído</v>
      </c>
      <c r="R82" s="437">
        <f t="shared" si="11"/>
        <v>1</v>
      </c>
      <c r="S82" s="431" t="s">
        <v>1391</v>
      </c>
      <c r="T82" s="275">
        <v>92</v>
      </c>
      <c r="U82" s="218" t="s">
        <v>1181</v>
      </c>
    </row>
    <row r="83" spans="1:21" ht="61.5" customHeight="1" x14ac:dyDescent="0.2">
      <c r="A83" s="423" t="s">
        <v>120</v>
      </c>
      <c r="B83" s="424" t="str">
        <f>VLOOKUP(A83,'2-Inventário de Necessidades'!$A$2:$B$63,2,0)</f>
        <v>SISTEMAS DE INFORMAÇÃO</v>
      </c>
      <c r="C83" s="424" t="str">
        <f>VLOOKUP(A83,'2-Inventário de Necessidades'!$A$2:$C$63,3,0)</f>
        <v>Prover canal de comunicação para que os servidores e cidadãos informem suspeitas de irregularidades</v>
      </c>
      <c r="D83" s="425" t="s">
        <v>1010</v>
      </c>
      <c r="E83" s="426" t="s">
        <v>1170</v>
      </c>
      <c r="F83" s="427" t="s">
        <v>380</v>
      </c>
      <c r="G83" s="428">
        <v>2</v>
      </c>
      <c r="H83" s="428" t="str">
        <f t="shared" ref="H83:H99" si="12">IF(
 ROUNDUP(SUM((J83-I83)/30),0)&gt;0,
 CONCATENATE(ROUNDUP(SUM((J83-I83)/30),0)," meses"),
  IF((G83*3)&lt;5,
  CONCATENATE(((G83*3)-1)," a ",G83*3," meses"),
   IF((G83*3)&gt;11,
   CONCATENATE("Superior a ", SUM((G83*3)/12)," ano(s)"),
   CONCATENATE(((G83*3)-1)," a ",G83*3," meses")
   )
  )
 )</f>
        <v>3 meses</v>
      </c>
      <c r="I83" s="429">
        <f>VLOOKUP($D83,'REVISÃO 2017-1 - PRIORIZAÇÃO'!$D$2:$O$95,11,0)</f>
        <v>42856</v>
      </c>
      <c r="J83" s="429">
        <f>VLOOKUP($D83,'REVISÃO 2017-1 - PRIORIZAÇÃO'!$D$2:$O$95,12,0)</f>
        <v>42917</v>
      </c>
      <c r="K83" s="429">
        <v>42856</v>
      </c>
      <c r="L83" s="429">
        <v>42887</v>
      </c>
      <c r="M83" s="450" t="str">
        <f t="shared" ca="1" si="9"/>
        <v>2 meses</v>
      </c>
      <c r="N83" s="428" t="s">
        <v>841</v>
      </c>
      <c r="O83" s="444">
        <f>IF(ISERROR(VLOOKUP(D83,'4-Investimento-Custeio'!$B$3:$I$39,8,0))=TRUE, 0, VLOOKUP(D83,'4-Investimento-Custeio'!$B$3:$I$39,8,0))</f>
        <v>0</v>
      </c>
      <c r="P83" s="430">
        <v>0</v>
      </c>
      <c r="Q83" s="431" t="str">
        <f t="shared" si="10"/>
        <v>Concluído</v>
      </c>
      <c r="R83" s="432">
        <f t="shared" si="11"/>
        <v>1</v>
      </c>
      <c r="S83" s="431" t="s">
        <v>1391</v>
      </c>
      <c r="T83" s="275">
        <v>95</v>
      </c>
      <c r="U83" s="218" t="s">
        <v>1179</v>
      </c>
    </row>
    <row r="84" spans="1:21" s="94" customFormat="1" ht="50.1" customHeight="1" x14ac:dyDescent="0.2">
      <c r="A84" s="423" t="s">
        <v>913</v>
      </c>
      <c r="B84" s="434" t="str">
        <f>VLOOKUP(A84,'2-Inventário de Necessidades'!$A$2:$B$63,2,0)</f>
        <v>SISTEMAS DE INFORMAÇÃO</v>
      </c>
      <c r="C84" s="434" t="str">
        <f>VLOOKUP(A84,'2-Inventário de Necessidades'!$A$2:$C$63,3,0)</f>
        <v>Aprimoramento de serviços para atender quesitos de transparência propostos pela ENCCLA, bem como o cumprimento integral da LAI estadual e federal</v>
      </c>
      <c r="D84" s="538" t="s">
        <v>982</v>
      </c>
      <c r="E84" s="426" t="s">
        <v>916</v>
      </c>
      <c r="F84" s="539" t="s">
        <v>380</v>
      </c>
      <c r="G84" s="428">
        <v>1</v>
      </c>
      <c r="H84" s="428" t="str">
        <f t="shared" si="12"/>
        <v>3 meses</v>
      </c>
      <c r="I84" s="429">
        <f>VLOOKUP($D84,'REVISÃO 2017-1 - PRIORIZAÇÃO'!$D$2:$O$95,11,0)</f>
        <v>42856</v>
      </c>
      <c r="J84" s="429">
        <f>VLOOKUP($D84,'REVISÃO 2017-1 - PRIORIZAÇÃO'!$D$2:$O$95,12,0)</f>
        <v>42917</v>
      </c>
      <c r="K84" s="540">
        <v>42795</v>
      </c>
      <c r="L84" s="540">
        <v>42887</v>
      </c>
      <c r="M84" s="450" t="str">
        <f t="shared" ca="1" si="9"/>
        <v>4 meses</v>
      </c>
      <c r="N84" s="428" t="s">
        <v>841</v>
      </c>
      <c r="O84" s="541">
        <f>IF(ISERROR(VLOOKUP(D84,'4-Investimento-Custeio'!$B$3:$I$39,8,0))=TRUE, 0, VLOOKUP(D84,'4-Investimento-Custeio'!$B$3:$I$39,8,0))</f>
        <v>0</v>
      </c>
      <c r="P84" s="537">
        <v>0</v>
      </c>
      <c r="Q84" s="431" t="str">
        <f t="shared" si="10"/>
        <v>Concluído</v>
      </c>
      <c r="R84" s="432">
        <f t="shared" si="11"/>
        <v>1</v>
      </c>
      <c r="S84" s="431" t="s">
        <v>1391</v>
      </c>
      <c r="T84" s="275">
        <v>164</v>
      </c>
      <c r="U84" s="218"/>
    </row>
    <row r="85" spans="1:21" s="94" customFormat="1" ht="50.1" customHeight="1" x14ac:dyDescent="0.2">
      <c r="A85" s="433" t="str">
        <f>SUBSTITUTE(LEFT(D85,3),"A", "NC")</f>
        <v>NC60</v>
      </c>
      <c r="B85" s="434" t="str">
        <f>VLOOKUP(A85,'2-Inventário de Necessidades'!$A$2:$B$63,2,0)</f>
        <v>SISTEMAS DE INFORMAÇÃO</v>
      </c>
      <c r="C85" s="434" t="str">
        <f>VLOOKUP(A85,'2-Inventário de Necessidades'!$A$2:$C$63,3,0)</f>
        <v>Aprimoramento de serviços para atender quesitos de transparência propostos pela ENCCLA, bem como o cumprimento integral da LAI estadual e federal</v>
      </c>
      <c r="D85" s="425" t="s">
        <v>1141</v>
      </c>
      <c r="E85" s="426" t="s">
        <v>1142</v>
      </c>
      <c r="F85" s="436" t="s">
        <v>380</v>
      </c>
      <c r="G85" s="437">
        <v>2</v>
      </c>
      <c r="H85" s="428" t="str">
        <f t="shared" si="12"/>
        <v>3 meses</v>
      </c>
      <c r="I85" s="429">
        <f>VLOOKUP($D85,'REVISÃO 2017-1 - PRIORIZAÇÃO'!$D$2:$O$95,11,0)</f>
        <v>42856</v>
      </c>
      <c r="J85" s="429">
        <f>VLOOKUP($D85,'REVISÃO 2017-1 - PRIORIZAÇÃO'!$D$2:$O$95,12,0)</f>
        <v>42917</v>
      </c>
      <c r="K85" s="540">
        <v>42795</v>
      </c>
      <c r="L85" s="429">
        <v>42887</v>
      </c>
      <c r="M85" s="535" t="str">
        <f t="shared" ca="1" si="9"/>
        <v>4 meses</v>
      </c>
      <c r="N85" s="428" t="s">
        <v>841</v>
      </c>
      <c r="O85" s="536">
        <f>IF(ISERROR(VLOOKUP(D85,'4-Investimento-Custeio'!$B$3:$I$39,8,0))=TRUE, 0, VLOOKUP(D85,'4-Investimento-Custeio'!$B$3:$I$39,8,0))</f>
        <v>0</v>
      </c>
      <c r="P85" s="537">
        <v>0</v>
      </c>
      <c r="Q85" s="431" t="str">
        <f t="shared" si="10"/>
        <v>Concluído</v>
      </c>
      <c r="R85" s="437">
        <f t="shared" si="11"/>
        <v>1</v>
      </c>
      <c r="S85" s="431" t="s">
        <v>1391</v>
      </c>
      <c r="T85" s="275">
        <v>166</v>
      </c>
      <c r="U85" s="218" t="s">
        <v>1179</v>
      </c>
    </row>
    <row r="86" spans="1:21" s="94" customFormat="1" ht="50.1" customHeight="1" x14ac:dyDescent="0.2">
      <c r="A86" s="469" t="s">
        <v>23</v>
      </c>
      <c r="B86" s="470" t="str">
        <f>VLOOKUP(A86,'2-Inventário de Necessidades'!$A$2:$B$63,2,0)</f>
        <v>SISTEMAS DE INFORMAÇÃO</v>
      </c>
      <c r="C86" s="470" t="str">
        <f>VLOOKUP(A86,'2-Inventário de Necessidades'!$A$2:$C$63,3,0)</f>
        <v>Desenvolvimento de solução de modernização do sistema de Plenário</v>
      </c>
      <c r="D86" s="471" t="s">
        <v>1021</v>
      </c>
      <c r="E86" s="472" t="s">
        <v>1108</v>
      </c>
      <c r="F86" s="473" t="s">
        <v>380</v>
      </c>
      <c r="G86" s="474">
        <v>4</v>
      </c>
      <c r="H86" s="474" t="str">
        <f t="shared" si="12"/>
        <v>4 meses</v>
      </c>
      <c r="I86" s="475">
        <f>VLOOKUP($D86,'REVISÃO 2017-1 - PRIORIZAÇÃO'!$D$2:$O$95,11,0)</f>
        <v>43313</v>
      </c>
      <c r="J86" s="475">
        <f>VLOOKUP($D86,'REVISÃO 2017-1 - PRIORIZAÇÃO'!$D$2:$O$95,12,0)</f>
        <v>43405</v>
      </c>
      <c r="K86" s="475">
        <v>42856</v>
      </c>
      <c r="L86" s="475">
        <v>42917</v>
      </c>
      <c r="M86" s="476" t="str">
        <f t="shared" ca="1" si="9"/>
        <v>3 meses</v>
      </c>
      <c r="N86" s="474" t="s">
        <v>841</v>
      </c>
      <c r="O86" s="477">
        <f>IF(ISERROR(VLOOKUP(D86,'4-Investimento-Custeio'!$B$3:$I$39,8,0))=TRUE, 0, VLOOKUP(D86,'4-Investimento-Custeio'!$B$3:$I$39,8,0))</f>
        <v>0</v>
      </c>
      <c r="P86" s="478">
        <v>0</v>
      </c>
      <c r="Q86" s="479" t="str">
        <f t="shared" si="10"/>
        <v>Concluído</v>
      </c>
      <c r="R86" s="480">
        <f t="shared" si="11"/>
        <v>1</v>
      </c>
      <c r="S86" s="479" t="s">
        <v>1392</v>
      </c>
      <c r="T86" s="275">
        <v>12</v>
      </c>
      <c r="U86" s="218"/>
    </row>
    <row r="87" spans="1:21" s="94" customFormat="1" ht="50.1" customHeight="1" x14ac:dyDescent="0.2">
      <c r="A87" s="469" t="s">
        <v>57</v>
      </c>
      <c r="B87" s="470" t="str">
        <f>VLOOKUP(A87,'2-Inventário de Necessidades'!$A$2:$B$63,2,0)</f>
        <v>SISTEMAS DE INFORMAÇÃO</v>
      </c>
      <c r="C87" s="470" t="str">
        <f>VLOOKUP(A87,'2-Inventário de Necessidades'!$A$2:$C$63,3,0)</f>
        <v>Sustentação e evolução do sistema GPRO</v>
      </c>
      <c r="D87" s="471" t="s">
        <v>1012</v>
      </c>
      <c r="E87" s="481" t="s">
        <v>59</v>
      </c>
      <c r="F87" s="473" t="s">
        <v>380</v>
      </c>
      <c r="G87" s="474">
        <v>2</v>
      </c>
      <c r="H87" s="474" t="str">
        <f t="shared" si="12"/>
        <v>2 meses</v>
      </c>
      <c r="I87" s="475">
        <f>VLOOKUP($D87,'REVISÃO 2017-1 - PRIORIZAÇÃO'!$D$2:$O$95,11,0)</f>
        <v>42856</v>
      </c>
      <c r="J87" s="475">
        <f>VLOOKUP($D87,'REVISÃO 2017-1 - PRIORIZAÇÃO'!$D$2:$O$95,12,0)</f>
        <v>42887</v>
      </c>
      <c r="K87" s="475">
        <v>42736</v>
      </c>
      <c r="L87" s="475">
        <v>42979</v>
      </c>
      <c r="M87" s="476" t="str">
        <f t="shared" ca="1" si="9"/>
        <v>9 meses</v>
      </c>
      <c r="N87" s="474" t="s">
        <v>841</v>
      </c>
      <c r="O87" s="477">
        <f>IF(ISERROR(VLOOKUP(D87,'4-Investimento-Custeio'!$B$3:$I$39,8,0))=TRUE, 0, VLOOKUP(D87,'4-Investimento-Custeio'!$B$3:$I$39,8,0))</f>
        <v>0</v>
      </c>
      <c r="P87" s="478">
        <v>0</v>
      </c>
      <c r="Q87" s="479" t="str">
        <f t="shared" si="10"/>
        <v>Concluído</v>
      </c>
      <c r="R87" s="480">
        <f t="shared" si="11"/>
        <v>1</v>
      </c>
      <c r="S87" s="479" t="s">
        <v>1392</v>
      </c>
      <c r="T87" s="275">
        <v>45</v>
      </c>
      <c r="U87" s="218"/>
    </row>
    <row r="88" spans="1:21" s="94" customFormat="1" ht="50.1" customHeight="1" x14ac:dyDescent="0.2">
      <c r="A88" s="469" t="s">
        <v>5</v>
      </c>
      <c r="B88" s="470" t="str">
        <f>VLOOKUP(A88,'2-Inventário de Necessidades'!$A$2:$B$63,2,0)</f>
        <v>INFRAESTRUTURA DE TI</v>
      </c>
      <c r="C88" s="470" t="str">
        <f>VLOOKUP(A88,'2-Inventário de Necessidades'!$A$2:$C$63,3,0)</f>
        <v>Modernização do parque tecnológico</v>
      </c>
      <c r="D88" s="471" t="s">
        <v>76</v>
      </c>
      <c r="E88" s="481" t="s">
        <v>78</v>
      </c>
      <c r="F88" s="473" t="s">
        <v>825</v>
      </c>
      <c r="G88" s="474">
        <v>1</v>
      </c>
      <c r="H88" s="474" t="str">
        <f t="shared" si="12"/>
        <v>4 meses</v>
      </c>
      <c r="I88" s="475">
        <f>VLOOKUP($D88,'REVISÃO 2017-1 - PRIORIZAÇÃO'!$D$3:$O$95,11,0)</f>
        <v>42856</v>
      </c>
      <c r="J88" s="475">
        <f>VLOOKUP($D88,'REVISÃO 2017-1 - PRIORIZAÇÃO'!$D$3:$O$95,12,0)</f>
        <v>42948</v>
      </c>
      <c r="K88" s="475">
        <v>42705</v>
      </c>
      <c r="L88" s="475">
        <v>42979</v>
      </c>
      <c r="M88" s="476" t="str">
        <f t="shared" ca="1" si="9"/>
        <v>10 meses</v>
      </c>
      <c r="N88" s="474" t="s">
        <v>296</v>
      </c>
      <c r="O88" s="477">
        <f>IF(ISERROR(VLOOKUP(D88,'4-Investimento-Custeio'!$B$3:$I$39,8,0))=TRUE, 0, VLOOKUP(D88,'4-Investimento-Custeio'!$B$3:$I$39,8,0))</f>
        <v>250000</v>
      </c>
      <c r="P88" s="478">
        <v>0</v>
      </c>
      <c r="Q88" s="479" t="str">
        <f t="shared" si="10"/>
        <v>Concluído</v>
      </c>
      <c r="R88" s="480">
        <f t="shared" si="11"/>
        <v>1</v>
      </c>
      <c r="S88" s="479" t="s">
        <v>1392</v>
      </c>
      <c r="T88" s="275">
        <v>56</v>
      </c>
      <c r="U88" s="218"/>
    </row>
    <row r="89" spans="1:21" s="94" customFormat="1" ht="50.1" customHeight="1" x14ac:dyDescent="0.2">
      <c r="A89" s="469" t="s">
        <v>97</v>
      </c>
      <c r="B89" s="470" t="str">
        <f>VLOOKUP(A89,'2-Inventário de Necessidades'!$A$2:$B$63,2,0)</f>
        <v>SISTEMAS DE INFORMAÇÃO</v>
      </c>
      <c r="C89" s="470" t="str">
        <f>VLOOKUP(A89,'2-Inventário de Necessidades'!$A$2:$C$63,3,0)</f>
        <v>Adequação dos sistemas do TCE-GO para viabilizar que os Conselheiros substitutos relatem processos</v>
      </c>
      <c r="D89" s="471" t="s">
        <v>1003</v>
      </c>
      <c r="E89" s="481" t="s">
        <v>1091</v>
      </c>
      <c r="F89" s="473" t="s">
        <v>380</v>
      </c>
      <c r="G89" s="474">
        <v>2</v>
      </c>
      <c r="H89" s="474" t="str">
        <f t="shared" si="12"/>
        <v>4 meses</v>
      </c>
      <c r="I89" s="475">
        <f>VLOOKUP($D89,'REVISÃO 2017-1 - PRIORIZAÇÃO'!$D$2:$O$95,11,0)</f>
        <v>43313</v>
      </c>
      <c r="J89" s="475">
        <f>VLOOKUP($D89,'REVISÃO 2017-1 - PRIORIZAÇÃO'!$D$2:$O$95,12,0)</f>
        <v>43405</v>
      </c>
      <c r="K89" s="475"/>
      <c r="L89" s="475">
        <v>42979</v>
      </c>
      <c r="M89" s="476" t="str">
        <f t="shared" ca="1" si="9"/>
        <v>-</v>
      </c>
      <c r="N89" s="474" t="s">
        <v>841</v>
      </c>
      <c r="O89" s="477">
        <f>IF(ISERROR(VLOOKUP(D89,'4-Investimento-Custeio'!$B$3:$I$39,8,0))=TRUE, 0, VLOOKUP(D89,'4-Investimento-Custeio'!$B$3:$I$39,8,0))</f>
        <v>0</v>
      </c>
      <c r="P89" s="478">
        <v>0</v>
      </c>
      <c r="Q89" s="479" t="str">
        <f t="shared" si="10"/>
        <v>Não Iniciado</v>
      </c>
      <c r="R89" s="480">
        <f t="shared" si="11"/>
        <v>1</v>
      </c>
      <c r="S89" s="479" t="s">
        <v>1392</v>
      </c>
      <c r="T89" s="275">
        <v>73</v>
      </c>
      <c r="U89" s="218"/>
    </row>
    <row r="90" spans="1:21" s="94" customFormat="1" ht="50.1" customHeight="1" x14ac:dyDescent="0.2">
      <c r="A90" s="469" t="s">
        <v>130</v>
      </c>
      <c r="B90" s="470" t="str">
        <f>VLOOKUP(A90,'2-Inventário de Necessidades'!$A$2:$B$63,2,0)</f>
        <v>SISTEMAS DE INFORMAÇÃO</v>
      </c>
      <c r="C90" s="470" t="str">
        <f>VLOOKUP(A90,'2-Inventário de Necessidades'!$A$2:$C$63,3,0)</f>
        <v>Modernização do Portal de Gestão de Pessoas</v>
      </c>
      <c r="D90" s="484" t="s">
        <v>1006</v>
      </c>
      <c r="E90" s="485" t="s">
        <v>1158</v>
      </c>
      <c r="F90" s="486" t="s">
        <v>380</v>
      </c>
      <c r="G90" s="487">
        <v>2</v>
      </c>
      <c r="H90" s="474" t="str">
        <f t="shared" si="12"/>
        <v>12 meses</v>
      </c>
      <c r="I90" s="475">
        <f>VLOOKUP($D90,'REVISÃO 2017-1 - PRIORIZAÇÃO'!$D$2:$O$95,11,0)</f>
        <v>42736</v>
      </c>
      <c r="J90" s="475">
        <f>VLOOKUP($D90,'REVISÃO 2017-1 - PRIORIZAÇÃO'!$D$2:$O$95,12,0)</f>
        <v>43070</v>
      </c>
      <c r="K90" s="475">
        <v>42856</v>
      </c>
      <c r="L90" s="475">
        <v>42917</v>
      </c>
      <c r="M90" s="476" t="str">
        <f t="shared" ca="1" si="9"/>
        <v>3 meses</v>
      </c>
      <c r="N90" s="487" t="s">
        <v>841</v>
      </c>
      <c r="O90" s="477">
        <f>IF(ISERROR(VLOOKUP(D90,'4-Investimento-Custeio'!$B$3:$I$39,8,0))=TRUE, 0, VLOOKUP(D90,'4-Investimento-Custeio'!$B$3:$I$39,8,0))</f>
        <v>0</v>
      </c>
      <c r="P90" s="478">
        <v>0</v>
      </c>
      <c r="Q90" s="479" t="str">
        <f t="shared" si="10"/>
        <v>Concluído</v>
      </c>
      <c r="R90" s="487">
        <f t="shared" si="11"/>
        <v>1</v>
      </c>
      <c r="S90" s="487" t="s">
        <v>1392</v>
      </c>
      <c r="T90" s="275">
        <v>100</v>
      </c>
      <c r="U90" s="218"/>
    </row>
    <row r="91" spans="1:21" s="94" customFormat="1" ht="50.1" customHeight="1" x14ac:dyDescent="0.2">
      <c r="A91" s="469" t="s">
        <v>145</v>
      </c>
      <c r="B91" s="470" t="str">
        <f>VLOOKUP(A91,'2-Inventário de Necessidades'!$A$2:$B$63,2,0)</f>
        <v>SISTEMAS DE INFORMAÇÃO</v>
      </c>
      <c r="C91" s="470" t="str">
        <f>VLOOKUP(A91,'2-Inventário de Necessidades'!$A$2:$C$63,3,0)</f>
        <v>Aquisição de softwares aplicativos</v>
      </c>
      <c r="D91" s="471" t="s">
        <v>147</v>
      </c>
      <c r="E91" s="481" t="s">
        <v>148</v>
      </c>
      <c r="F91" s="473" t="s">
        <v>220</v>
      </c>
      <c r="G91" s="474">
        <v>3</v>
      </c>
      <c r="H91" s="474" t="str">
        <f t="shared" si="12"/>
        <v>4 meses</v>
      </c>
      <c r="I91" s="475">
        <f>VLOOKUP($D91,'REVISÃO 2017-1 - PRIORIZAÇÃO'!$D$2:$O$95,11,0)</f>
        <v>42856</v>
      </c>
      <c r="J91" s="475">
        <f>VLOOKUP($D91,'REVISÃO 2017-1 - PRIORIZAÇÃO'!$D$2:$O$95,12,0)</f>
        <v>42948</v>
      </c>
      <c r="K91" s="475">
        <v>42795</v>
      </c>
      <c r="L91" s="475">
        <v>42979</v>
      </c>
      <c r="M91" s="476" t="str">
        <f t="shared" ca="1" si="9"/>
        <v>7 meses</v>
      </c>
      <c r="N91" s="474" t="s">
        <v>296</v>
      </c>
      <c r="O91" s="477">
        <f>IF(ISERROR(VLOOKUP(D91,'4-Investimento-Custeio'!$B$3:$I$39,8,0))=TRUE, 0, VLOOKUP(D91,'4-Investimento-Custeio'!$B$3:$I$39,8,0))</f>
        <v>6000</v>
      </c>
      <c r="P91" s="478">
        <v>0</v>
      </c>
      <c r="Q91" s="479" t="str">
        <f t="shared" si="10"/>
        <v>Concluído</v>
      </c>
      <c r="R91" s="480">
        <f t="shared" si="11"/>
        <v>1</v>
      </c>
      <c r="S91" s="479" t="s">
        <v>1392</v>
      </c>
      <c r="T91" s="275">
        <v>107</v>
      </c>
      <c r="U91" s="218"/>
    </row>
    <row r="92" spans="1:21" s="94" customFormat="1" ht="50.1" customHeight="1" x14ac:dyDescent="0.2">
      <c r="A92" s="469" t="s">
        <v>145</v>
      </c>
      <c r="B92" s="470" t="str">
        <f>VLOOKUP(A92,'2-Inventário de Necessidades'!$A$2:$B$63,2,0)</f>
        <v>SISTEMAS DE INFORMAÇÃO</v>
      </c>
      <c r="C92" s="470" t="str">
        <f>VLOOKUP(A92,'2-Inventário de Necessidades'!$A$2:$C$63,3,0)</f>
        <v>Aquisição de softwares aplicativos</v>
      </c>
      <c r="D92" s="471" t="s">
        <v>149</v>
      </c>
      <c r="E92" s="481" t="s">
        <v>150</v>
      </c>
      <c r="F92" s="473" t="s">
        <v>220</v>
      </c>
      <c r="G92" s="474">
        <v>1</v>
      </c>
      <c r="H92" s="474" t="str">
        <f t="shared" si="12"/>
        <v>4 meses</v>
      </c>
      <c r="I92" s="475">
        <f>VLOOKUP($D92,'REVISÃO 2017-1 - PRIORIZAÇÃO'!$D$2:$O$95,11,0)</f>
        <v>42856</v>
      </c>
      <c r="J92" s="475">
        <f>VLOOKUP($D92,'REVISÃO 2017-1 - PRIORIZAÇÃO'!$D$2:$O$95,12,0)</f>
        <v>42948</v>
      </c>
      <c r="K92" s="475">
        <v>42795</v>
      </c>
      <c r="L92" s="475">
        <v>42979</v>
      </c>
      <c r="M92" s="476" t="str">
        <f t="shared" ca="1" si="9"/>
        <v>7 meses</v>
      </c>
      <c r="N92" s="474" t="s">
        <v>296</v>
      </c>
      <c r="O92" s="477">
        <f>IF(ISERROR(VLOOKUP(D92,'4-Investimento-Custeio'!$B$3:$I$39,8,0))=TRUE, 0, VLOOKUP(D92,'4-Investimento-Custeio'!$B$3:$I$39,8,0))</f>
        <v>48000</v>
      </c>
      <c r="P92" s="478">
        <v>0</v>
      </c>
      <c r="Q92" s="479" t="str">
        <f t="shared" si="10"/>
        <v>Concluído</v>
      </c>
      <c r="R92" s="480">
        <f t="shared" si="11"/>
        <v>1</v>
      </c>
      <c r="S92" s="479" t="s">
        <v>1392</v>
      </c>
      <c r="T92" s="275">
        <v>108</v>
      </c>
      <c r="U92" s="218"/>
    </row>
    <row r="93" spans="1:21" s="94" customFormat="1" ht="50.1" customHeight="1" x14ac:dyDescent="0.2">
      <c r="A93" s="469" t="s">
        <v>145</v>
      </c>
      <c r="B93" s="470" t="str">
        <f>VLOOKUP(A93,'2-Inventário de Necessidades'!$A$2:$B$63,2,0)</f>
        <v>SISTEMAS DE INFORMAÇÃO</v>
      </c>
      <c r="C93" s="470" t="str">
        <f>VLOOKUP(A93,'2-Inventário de Necessidades'!$A$2:$C$63,3,0)</f>
        <v>Aquisição de softwares aplicativos</v>
      </c>
      <c r="D93" s="471" t="s">
        <v>151</v>
      </c>
      <c r="E93" s="481" t="s">
        <v>152</v>
      </c>
      <c r="F93" s="473" t="s">
        <v>220</v>
      </c>
      <c r="G93" s="474">
        <v>1</v>
      </c>
      <c r="H93" s="474" t="str">
        <f t="shared" si="12"/>
        <v>4 meses</v>
      </c>
      <c r="I93" s="475">
        <f>VLOOKUP($D93,'REVISÃO 2017-1 - PRIORIZAÇÃO'!$D$2:$O$95,11,0)</f>
        <v>42856</v>
      </c>
      <c r="J93" s="475">
        <f>VLOOKUP($D93,'REVISÃO 2017-1 - PRIORIZAÇÃO'!$D$2:$O$95,12,0)</f>
        <v>42948</v>
      </c>
      <c r="K93" s="475">
        <v>42795</v>
      </c>
      <c r="L93" s="475">
        <v>42979</v>
      </c>
      <c r="M93" s="476" t="str">
        <f t="shared" ca="1" si="9"/>
        <v>7 meses</v>
      </c>
      <c r="N93" s="474" t="s">
        <v>296</v>
      </c>
      <c r="O93" s="477">
        <f>IF(ISERROR(VLOOKUP(D93,'4-Investimento-Custeio'!$B$3:$I$39,8,0))=TRUE, 0, VLOOKUP(D93,'4-Investimento-Custeio'!$B$3:$I$39,8,0))</f>
        <v>10000</v>
      </c>
      <c r="P93" s="478">
        <v>0</v>
      </c>
      <c r="Q93" s="479" t="str">
        <f t="shared" si="10"/>
        <v>Concluído</v>
      </c>
      <c r="R93" s="480">
        <f t="shared" si="11"/>
        <v>1</v>
      </c>
      <c r="S93" s="479" t="s">
        <v>1392</v>
      </c>
      <c r="T93" s="275">
        <v>109</v>
      </c>
      <c r="U93" s="218"/>
    </row>
    <row r="94" spans="1:21" ht="50.1" customHeight="1" x14ac:dyDescent="0.2">
      <c r="A94" s="469" t="s">
        <v>145</v>
      </c>
      <c r="B94" s="470" t="str">
        <f>VLOOKUP(A94,'2-Inventário de Necessidades'!$A$2:$B$63,2,0)</f>
        <v>SISTEMAS DE INFORMAÇÃO</v>
      </c>
      <c r="C94" s="470" t="str">
        <f>VLOOKUP(A94,'2-Inventário de Necessidades'!$A$2:$C$63,3,0)</f>
        <v>Aquisição de softwares aplicativos</v>
      </c>
      <c r="D94" s="471" t="s">
        <v>153</v>
      </c>
      <c r="E94" s="481" t="s">
        <v>154</v>
      </c>
      <c r="F94" s="473" t="s">
        <v>220</v>
      </c>
      <c r="G94" s="474">
        <v>1</v>
      </c>
      <c r="H94" s="474" t="str">
        <f t="shared" si="12"/>
        <v>4 meses</v>
      </c>
      <c r="I94" s="475">
        <f>VLOOKUP($D94,'REVISÃO 2017-1 - PRIORIZAÇÃO'!$D$2:$O$95,11,0)</f>
        <v>42856</v>
      </c>
      <c r="J94" s="475">
        <f>VLOOKUP($D94,'REVISÃO 2017-1 - PRIORIZAÇÃO'!$D$2:$O$95,12,0)</f>
        <v>42948</v>
      </c>
      <c r="K94" s="475">
        <v>42795</v>
      </c>
      <c r="L94" s="475">
        <v>42979</v>
      </c>
      <c r="M94" s="476" t="str">
        <f t="shared" ca="1" si="9"/>
        <v>7 meses</v>
      </c>
      <c r="N94" s="474" t="s">
        <v>296</v>
      </c>
      <c r="O94" s="477">
        <f>IF(ISERROR(VLOOKUP(D94,'4-Investimento-Custeio'!$B$3:$I$39,8,0))=TRUE, 0, VLOOKUP(D94,'4-Investimento-Custeio'!$B$3:$I$39,8,0))</f>
        <v>10000</v>
      </c>
      <c r="P94" s="478">
        <v>0</v>
      </c>
      <c r="Q94" s="479" t="str">
        <f t="shared" si="10"/>
        <v>Concluído</v>
      </c>
      <c r="R94" s="480">
        <f t="shared" si="11"/>
        <v>1</v>
      </c>
      <c r="S94" s="479" t="s">
        <v>1392</v>
      </c>
      <c r="T94" s="275">
        <v>110</v>
      </c>
      <c r="U94" s="218"/>
    </row>
    <row r="95" spans="1:21" ht="50.1" customHeight="1" x14ac:dyDescent="0.2">
      <c r="A95" s="469" t="s">
        <v>145</v>
      </c>
      <c r="B95" s="470" t="str">
        <f>VLOOKUP(A95,'2-Inventário de Necessidades'!$A$2:$B$63,2,0)</f>
        <v>SISTEMAS DE INFORMAÇÃO</v>
      </c>
      <c r="C95" s="470" t="str">
        <f>VLOOKUP(A95,'2-Inventário de Necessidades'!$A$2:$C$63,3,0)</f>
        <v>Aquisição de softwares aplicativos</v>
      </c>
      <c r="D95" s="471" t="s">
        <v>155</v>
      </c>
      <c r="E95" s="481" t="s">
        <v>156</v>
      </c>
      <c r="F95" s="473" t="s">
        <v>220</v>
      </c>
      <c r="G95" s="474">
        <v>1</v>
      </c>
      <c r="H95" s="474" t="str">
        <f t="shared" si="12"/>
        <v>4 meses</v>
      </c>
      <c r="I95" s="475">
        <f>VLOOKUP($D95,'REVISÃO 2017-1 - PRIORIZAÇÃO'!$D$2:$O$95,11,0)</f>
        <v>42856</v>
      </c>
      <c r="J95" s="475">
        <f>VLOOKUP($D95,'REVISÃO 2017-1 - PRIORIZAÇÃO'!$D$2:$O$95,12,0)</f>
        <v>42948</v>
      </c>
      <c r="K95" s="475">
        <v>42795</v>
      </c>
      <c r="L95" s="475">
        <v>42979</v>
      </c>
      <c r="M95" s="476" t="str">
        <f t="shared" ca="1" si="9"/>
        <v>7 meses</v>
      </c>
      <c r="N95" s="474" t="s">
        <v>296</v>
      </c>
      <c r="O95" s="477">
        <f>IF(ISERROR(VLOOKUP(D95,'4-Investimento-Custeio'!$B$3:$I$39,8,0))=TRUE, 0, VLOOKUP(D95,'4-Investimento-Custeio'!$B$3:$I$39,8,0))</f>
        <v>10000</v>
      </c>
      <c r="P95" s="478">
        <v>0</v>
      </c>
      <c r="Q95" s="479" t="str">
        <f t="shared" si="10"/>
        <v>Concluído</v>
      </c>
      <c r="R95" s="480">
        <f t="shared" si="11"/>
        <v>1</v>
      </c>
      <c r="S95" s="479" t="s">
        <v>1392</v>
      </c>
      <c r="T95" s="275">
        <v>111</v>
      </c>
      <c r="U95" s="218"/>
    </row>
    <row r="96" spans="1:21" s="94" customFormat="1" ht="50.1" customHeight="1" x14ac:dyDescent="0.2">
      <c r="A96" s="469" t="s">
        <v>145</v>
      </c>
      <c r="B96" s="470" t="str">
        <f>VLOOKUP(A96,'2-Inventário de Necessidades'!$A$2:$B$63,2,0)</f>
        <v>SISTEMAS DE INFORMAÇÃO</v>
      </c>
      <c r="C96" s="470" t="str">
        <f>VLOOKUP(A96,'2-Inventário de Necessidades'!$A$2:$C$63,3,0)</f>
        <v>Aquisição de softwares aplicativos</v>
      </c>
      <c r="D96" s="471" t="s">
        <v>162</v>
      </c>
      <c r="E96" s="481" t="s">
        <v>846</v>
      </c>
      <c r="F96" s="473" t="s">
        <v>220</v>
      </c>
      <c r="G96" s="474">
        <v>8</v>
      </c>
      <c r="H96" s="474" t="str">
        <f t="shared" si="12"/>
        <v>5 meses</v>
      </c>
      <c r="I96" s="475">
        <f>VLOOKUP($D96,'REVISÃO 2017-1 - PRIORIZAÇÃO'!$D$2:$O$95,11,0)</f>
        <v>42856</v>
      </c>
      <c r="J96" s="475">
        <f>VLOOKUP($D96,'REVISÃO 2017-1 - PRIORIZAÇÃO'!$D$2:$O$95,12,0)</f>
        <v>42979</v>
      </c>
      <c r="K96" s="475">
        <v>42767</v>
      </c>
      <c r="L96" s="475">
        <v>42979</v>
      </c>
      <c r="M96" s="476" t="str">
        <f t="shared" ca="1" si="9"/>
        <v>8 meses</v>
      </c>
      <c r="N96" s="474" t="s">
        <v>296</v>
      </c>
      <c r="O96" s="477">
        <f>IF(ISERROR(VLOOKUP(D96,'4-Investimento-Custeio'!$B$3:$I$39,8,0))=TRUE, 0, VLOOKUP(D96,'4-Investimento-Custeio'!$B$3:$I$39,8,0))</f>
        <v>520000</v>
      </c>
      <c r="P96" s="478">
        <v>0</v>
      </c>
      <c r="Q96" s="479" t="str">
        <f t="shared" si="10"/>
        <v>Concluído</v>
      </c>
      <c r="R96" s="480">
        <f t="shared" si="11"/>
        <v>1</v>
      </c>
      <c r="S96" s="479" t="s">
        <v>1392</v>
      </c>
      <c r="T96" s="275">
        <v>115</v>
      </c>
      <c r="U96" s="218"/>
    </row>
    <row r="97" spans="1:21" s="94" customFormat="1" ht="50.1" customHeight="1" x14ac:dyDescent="0.2">
      <c r="A97" s="469" t="s">
        <v>145</v>
      </c>
      <c r="B97" s="470" t="str">
        <f>VLOOKUP(A97,'2-Inventário de Necessidades'!$A$2:$B$63,2,0)</f>
        <v>SISTEMAS DE INFORMAÇÃO</v>
      </c>
      <c r="C97" s="470" t="str">
        <f>VLOOKUP(A97,'2-Inventário de Necessidades'!$A$2:$C$63,3,0)</f>
        <v>Aquisição de softwares aplicativos</v>
      </c>
      <c r="D97" s="471" t="s">
        <v>165</v>
      </c>
      <c r="E97" s="481" t="s">
        <v>166</v>
      </c>
      <c r="F97" s="473" t="s">
        <v>220</v>
      </c>
      <c r="G97" s="474">
        <v>1</v>
      </c>
      <c r="H97" s="474" t="str">
        <f t="shared" si="12"/>
        <v>4 meses</v>
      </c>
      <c r="I97" s="475">
        <f>VLOOKUP($D97,'REVISÃO 2017-1 - PRIORIZAÇÃO'!$D$3:$O$95,11,0)</f>
        <v>42856</v>
      </c>
      <c r="J97" s="475">
        <f>VLOOKUP($D97,'REVISÃO 2017-1 - PRIORIZAÇÃO'!$D$3:$O$95,12,0)</f>
        <v>42948</v>
      </c>
      <c r="K97" s="475">
        <v>42705</v>
      </c>
      <c r="L97" s="475">
        <v>42979</v>
      </c>
      <c r="M97" s="476" t="str">
        <f t="shared" ca="1" si="9"/>
        <v>10 meses</v>
      </c>
      <c r="N97" s="474" t="s">
        <v>296</v>
      </c>
      <c r="O97" s="477">
        <f>IF(ISERROR(VLOOKUP(D97,'4-Investimento-Custeio'!$B$3:$I$39,8,0))=TRUE, 0, VLOOKUP(D97,'4-Investimento-Custeio'!$B$3:$I$39,8,0))</f>
        <v>10000</v>
      </c>
      <c r="P97" s="478">
        <v>0</v>
      </c>
      <c r="Q97" s="479" t="str">
        <f t="shared" si="10"/>
        <v>Concluído</v>
      </c>
      <c r="R97" s="480">
        <f t="shared" si="11"/>
        <v>1</v>
      </c>
      <c r="S97" s="479" t="s">
        <v>1392</v>
      </c>
      <c r="T97" s="275">
        <v>116</v>
      </c>
      <c r="U97" s="218"/>
    </row>
    <row r="98" spans="1:21" s="94" customFormat="1" ht="50.1" customHeight="1" x14ac:dyDescent="0.2">
      <c r="A98" s="469" t="s">
        <v>178</v>
      </c>
      <c r="B98" s="470" t="str">
        <f>VLOOKUP(A98,'2-Inventário de Necessidades'!$A$2:$B$63,2,0)</f>
        <v>SISTEMAS DE INFORMAÇÃO</v>
      </c>
      <c r="C98" s="470" t="str">
        <f>VLOOKUP(A98,'2-Inventário de Necessidades'!$A$2:$C$63,3,0)</f>
        <v>Sustentação e evolução do sistema de gestão de material e patrimônio - GMAP</v>
      </c>
      <c r="D98" s="484" t="s">
        <v>1037</v>
      </c>
      <c r="E98" s="485" t="s">
        <v>1157</v>
      </c>
      <c r="F98" s="486" t="s">
        <v>380</v>
      </c>
      <c r="G98" s="487">
        <v>2</v>
      </c>
      <c r="H98" s="474" t="str">
        <f t="shared" si="12"/>
        <v>12 meses</v>
      </c>
      <c r="I98" s="475">
        <f>VLOOKUP($D98,'REVISÃO 2017-1 - PRIORIZAÇÃO'!$D$2:$O$95,11,0)</f>
        <v>42736</v>
      </c>
      <c r="J98" s="475">
        <f>VLOOKUP($D98,'REVISÃO 2017-1 - PRIORIZAÇÃO'!$D$2:$O$95,12,0)</f>
        <v>43070</v>
      </c>
      <c r="K98" s="475">
        <v>42856</v>
      </c>
      <c r="L98" s="475">
        <v>42917</v>
      </c>
      <c r="M98" s="476" t="str">
        <f t="shared" ca="1" si="9"/>
        <v>3 meses</v>
      </c>
      <c r="N98" s="487" t="s">
        <v>841</v>
      </c>
      <c r="O98" s="477">
        <f>IF(ISERROR(VLOOKUP(D98,'4-Investimento-Custeio'!$B$3:$I$39,8,0))=TRUE, 0, VLOOKUP(D98,'4-Investimento-Custeio'!$B$3:$I$39,8,0))</f>
        <v>0</v>
      </c>
      <c r="P98" s="478">
        <v>0</v>
      </c>
      <c r="Q98" s="479" t="str">
        <f t="shared" si="10"/>
        <v>Concluído</v>
      </c>
      <c r="R98" s="487">
        <f t="shared" si="11"/>
        <v>1</v>
      </c>
      <c r="S98" s="487" t="s">
        <v>1392</v>
      </c>
      <c r="T98" s="275">
        <v>124</v>
      </c>
      <c r="U98" s="218"/>
    </row>
    <row r="99" spans="1:21" s="94" customFormat="1" ht="50.1" customHeight="1" x14ac:dyDescent="0.2">
      <c r="A99" s="469" t="s">
        <v>98</v>
      </c>
      <c r="B99" s="470" t="str">
        <f>VLOOKUP(A99,'2-Inventário de Necessidades'!$A$2:$B$63,2,0)</f>
        <v>INFRAESTRUTURA DE TI</v>
      </c>
      <c r="C99" s="470" t="str">
        <f>VLOOKUP(A99,'2-Inventário de Necessidades'!$A$2:$C$63,3,0)</f>
        <v>Sustentação da infraestrutura de TI da nova sede</v>
      </c>
      <c r="D99" s="471" t="s">
        <v>837</v>
      </c>
      <c r="E99" s="481" t="s">
        <v>100</v>
      </c>
      <c r="F99" s="473" t="s">
        <v>220</v>
      </c>
      <c r="G99" s="474">
        <v>4</v>
      </c>
      <c r="H99" s="474" t="str">
        <f t="shared" si="12"/>
        <v>24 meses</v>
      </c>
      <c r="I99" s="475">
        <f>VLOOKUP($D99,'REVISÃO 2017-1 - PRIORIZAÇÃO'!$D$2:$O$95,11,0)</f>
        <v>42736</v>
      </c>
      <c r="J99" s="475">
        <f>VLOOKUP($D99,'REVISÃO 2017-1 - PRIORIZAÇÃO'!$D$2:$O$95,12,0)</f>
        <v>43435</v>
      </c>
      <c r="K99" s="475">
        <v>42705</v>
      </c>
      <c r="L99" s="475">
        <v>42917</v>
      </c>
      <c r="M99" s="476" t="str">
        <f t="shared" ref="M99:M130" ca="1" si="13">IF(K99="", "-",CONCATENATE(ROUNDUP(SUM(((IF(L99="",TODAY(),L99))-K99)/30),0)," meses"))</f>
        <v>8 meses</v>
      </c>
      <c r="N99" s="474" t="s">
        <v>296</v>
      </c>
      <c r="O99" s="477">
        <f>IF(ISERROR(VLOOKUP(D99,'4-Investimento-Custeio'!$B$3:$I$39,8,0))=TRUE, 0, VLOOKUP(D99,'4-Investimento-Custeio'!$B$3:$I$39,8,0))</f>
        <v>0</v>
      </c>
      <c r="P99" s="478">
        <v>298830</v>
      </c>
      <c r="Q99" s="479" t="str">
        <f t="shared" ref="Q99:Q130" si="14">IF(K99="","Não Iniciado",IF(L99="","Em andamento","Concluído"))</f>
        <v>Concluído</v>
      </c>
      <c r="R99" s="480">
        <f t="shared" ref="R99:R130" si="15">IF(L99="",0,1)</f>
        <v>1</v>
      </c>
      <c r="S99" s="479" t="s">
        <v>1392</v>
      </c>
      <c r="T99" s="275">
        <v>77</v>
      </c>
      <c r="U99" s="218"/>
    </row>
    <row r="100" spans="1:21" s="94" customFormat="1" ht="50.1" customHeight="1" x14ac:dyDescent="0.2">
      <c r="A100" s="482" t="str">
        <f>SUBSTITUTE(LEFT(D100,3),"A", "NC")</f>
        <v>NC26</v>
      </c>
      <c r="B100" s="483" t="str">
        <f>VLOOKUP(A100,'2-Inventário de Necessidades'!$A$2:$B$63,2,0)</f>
        <v>SISTEMAS DE INFORMAÇÃO</v>
      </c>
      <c r="C100" s="483" t="str">
        <f>VLOOKUP(A100,'2-Inventário de Necessidades'!$A$2:$C$63,3,0)</f>
        <v>Viabilizar a análise de dados e o cruzamento de informações.</v>
      </c>
      <c r="D100" s="484" t="s">
        <v>1121</v>
      </c>
      <c r="E100" s="485" t="s">
        <v>1122</v>
      </c>
      <c r="F100" s="486" t="s">
        <v>380</v>
      </c>
      <c r="G100" s="487"/>
      <c r="H100" s="474"/>
      <c r="I100" s="475">
        <f>VLOOKUP($D100,'REVISÃO 2017-1 - PRIORIZAÇÃO'!$D$2:$O$95,11,0)</f>
        <v>43101</v>
      </c>
      <c r="J100" s="475">
        <f>VLOOKUP($D100,'REVISÃO 2017-1 - PRIORIZAÇÃO'!$D$2:$O$95,12,0)</f>
        <v>43191</v>
      </c>
      <c r="K100" s="475">
        <v>42826</v>
      </c>
      <c r="L100" s="475">
        <v>42979</v>
      </c>
      <c r="M100" s="476" t="str">
        <f t="shared" ca="1" si="13"/>
        <v>6 meses</v>
      </c>
      <c r="N100" s="487" t="s">
        <v>841</v>
      </c>
      <c r="O100" s="477">
        <f>IF(ISERROR(VLOOKUP(D100,'4-Investimento-Custeio'!$B$3:$I$39,8,0))=TRUE, 0, VLOOKUP(D100,'4-Investimento-Custeio'!$B$3:$I$39,8,0))</f>
        <v>0</v>
      </c>
      <c r="P100" s="478">
        <v>0</v>
      </c>
      <c r="Q100" s="479" t="str">
        <f t="shared" si="14"/>
        <v>Concluído</v>
      </c>
      <c r="R100" s="487">
        <f t="shared" si="15"/>
        <v>1</v>
      </c>
      <c r="S100" s="487" t="s">
        <v>1392</v>
      </c>
      <c r="T100" s="275">
        <v>81</v>
      </c>
      <c r="U100" s="218"/>
    </row>
    <row r="101" spans="1:21" s="94" customFormat="1" ht="50.1" customHeight="1" x14ac:dyDescent="0.2">
      <c r="A101" s="482" t="str">
        <f>SUBSTITUTE(LEFT(D101,3),"A", "NC")</f>
        <v>NC31</v>
      </c>
      <c r="B101" s="483" t="str">
        <f>VLOOKUP(A101,'2-Inventário de Necessidades'!$A$2:$B$63,2,0)</f>
        <v>SISTEMAS DE INFORMAÇÃO</v>
      </c>
      <c r="C101" s="483" t="str">
        <f>VLOOKUP(A101,'2-Inventário de Necessidades'!$A$2:$C$63,3,0)</f>
        <v>Aprimoramento dos serviços do portal institucional do TCE-GO</v>
      </c>
      <c r="D101" s="484" t="s">
        <v>1155</v>
      </c>
      <c r="E101" s="485" t="s">
        <v>1156</v>
      </c>
      <c r="F101" s="486" t="s">
        <v>380</v>
      </c>
      <c r="G101" s="487"/>
      <c r="H101" s="474"/>
      <c r="I101" s="475">
        <f>VLOOKUP($D101,'REVISÃO 2017-1 - PRIORIZAÇÃO'!$D$2:$O$95,11,0)</f>
        <v>42979</v>
      </c>
      <c r="J101" s="475">
        <f>VLOOKUP($D101,'REVISÃO 2017-1 - PRIORIZAÇÃO'!$D$2:$O$95,12,0)</f>
        <v>43070</v>
      </c>
      <c r="K101" s="475">
        <v>42887</v>
      </c>
      <c r="L101" s="475">
        <v>42979</v>
      </c>
      <c r="M101" s="476" t="str">
        <f t="shared" ca="1" si="13"/>
        <v>4 meses</v>
      </c>
      <c r="N101" s="487" t="s">
        <v>841</v>
      </c>
      <c r="O101" s="477">
        <f>IF(ISERROR(VLOOKUP(D101,'4-Investimento-Custeio'!$B$3:$I$39,8,0))=TRUE, 0, VLOOKUP(D101,'4-Investimento-Custeio'!$B$3:$I$39,8,0))</f>
        <v>0</v>
      </c>
      <c r="P101" s="478">
        <v>0</v>
      </c>
      <c r="Q101" s="479" t="str">
        <f t="shared" si="14"/>
        <v>Concluído</v>
      </c>
      <c r="R101" s="487">
        <f t="shared" si="15"/>
        <v>1</v>
      </c>
      <c r="S101" s="487" t="s">
        <v>1392</v>
      </c>
      <c r="T101" s="275">
        <v>94</v>
      </c>
      <c r="U101" s="218"/>
    </row>
    <row r="102" spans="1:21" s="94" customFormat="1" ht="50.1" customHeight="1" x14ac:dyDescent="0.2">
      <c r="A102" s="482" t="str">
        <f>SUBSTITUTE(LEFT(D102,3),"A", "NC")</f>
        <v>NC62</v>
      </c>
      <c r="B102" s="483" t="str">
        <f>VLOOKUP(A101,'2-Inventário de Necessidades'!$A$2:$B$63,2,0)</f>
        <v>SISTEMAS DE INFORMAÇÃO</v>
      </c>
      <c r="C102" s="483" t="str">
        <f>VLOOKUP(A102,'2-Inventário de Necessidades'!$A$2:$C$63,3,0)</f>
        <v>Prover suporte tecnológico para a ampliação da comunicação corporativa no TCE-GO</v>
      </c>
      <c r="D102" s="484" t="s">
        <v>1145</v>
      </c>
      <c r="E102" s="485" t="s">
        <v>1182</v>
      </c>
      <c r="F102" s="486" t="s">
        <v>380</v>
      </c>
      <c r="G102" s="487">
        <v>1</v>
      </c>
      <c r="H102" s="474" t="str">
        <f t="shared" ref="H102:H113" si="16">IF(
 ROUNDUP(SUM((J102-I102)/30),0)&gt;0,
 CONCATENATE(ROUNDUP(SUM((J102-I102)/30),0)," meses"),
  IF((G102*3)&lt;5,
  CONCATENATE(((G102*3)-1)," a ",G102*3," meses"),
   IF((G102*3)&gt;11,
   CONCATENATE("Superior a ", SUM((G102*3)/12)," ano(s)"),
   CONCATENATE(((G102*3)-1)," a ",G102*3," meses")
   )
  )
 )</f>
        <v>8 meses</v>
      </c>
      <c r="I102" s="475">
        <f>VLOOKUP($D102,'REVISÃO 2017-1 - PRIORIZAÇÃO'!$D$2:$O$95,11,0)</f>
        <v>42736</v>
      </c>
      <c r="J102" s="475">
        <v>42948</v>
      </c>
      <c r="K102" s="475">
        <v>42917</v>
      </c>
      <c r="L102" s="475">
        <v>42979</v>
      </c>
      <c r="M102" s="476" t="str">
        <f t="shared" ca="1" si="13"/>
        <v>3 meses</v>
      </c>
      <c r="N102" s="487"/>
      <c r="O102" s="477">
        <f>IF(ISERROR(VLOOKUP(D102,'4-Investimento-Custeio'!$B$3:$I$39,8,0))=TRUE, 0, VLOOKUP(D102,'4-Investimento-Custeio'!$B$3:$I$39,8,0))</f>
        <v>0</v>
      </c>
      <c r="P102" s="478">
        <v>0</v>
      </c>
      <c r="Q102" s="479" t="str">
        <f t="shared" si="14"/>
        <v>Concluído</v>
      </c>
      <c r="R102" s="487">
        <f t="shared" si="15"/>
        <v>1</v>
      </c>
      <c r="S102" s="487" t="s">
        <v>1392</v>
      </c>
      <c r="T102" s="275">
        <v>169</v>
      </c>
      <c r="U102" s="218" t="s">
        <v>1179</v>
      </c>
    </row>
    <row r="103" spans="1:21" s="94" customFormat="1" ht="50.1" customHeight="1" x14ac:dyDescent="0.2">
      <c r="A103" s="323" t="s">
        <v>80</v>
      </c>
      <c r="B103" s="346" t="str">
        <f>VLOOKUP(A103,'2-Inventário de Necessidades'!$A$2:$B$63,2,0)</f>
        <v>SERVIÇOS DE TI</v>
      </c>
      <c r="C103" s="346" t="str">
        <f>VLOOKUP(A103,'2-Inventário de Necessidades'!$A$2:$C$63,3,0)</f>
        <v>Capacitação no uso de ferramentas de TI e de sistemas corporativos de TI do TCE para os servidores em geral</v>
      </c>
      <c r="D103" s="324" t="s">
        <v>1074</v>
      </c>
      <c r="E103" s="325" t="s">
        <v>82</v>
      </c>
      <c r="F103" s="326" t="s">
        <v>825</v>
      </c>
      <c r="G103" s="327">
        <v>6</v>
      </c>
      <c r="H103" s="327" t="str">
        <f t="shared" si="16"/>
        <v>17 meses</v>
      </c>
      <c r="I103" s="190">
        <f>VLOOKUP($D103,'REVISÃO 2017-1 - PRIORIZAÇÃO'!$D$3:$O$95,11,0)</f>
        <v>42948</v>
      </c>
      <c r="J103" s="190">
        <f>VLOOKUP($D103,'REVISÃO 2017-1 - PRIORIZAÇÃO'!$D$3:$O$95,12,0)</f>
        <v>43435</v>
      </c>
      <c r="K103" s="190">
        <v>42370</v>
      </c>
      <c r="L103" s="354"/>
      <c r="M103" s="448" t="str">
        <f t="shared" ca="1" si="13"/>
        <v>24 meses</v>
      </c>
      <c r="N103" s="327" t="s">
        <v>295</v>
      </c>
      <c r="O103" s="442">
        <f>IF(ISERROR(VLOOKUP(D103,'4-Investimento-Custeio'!$B$3:$I$39,8,0))=TRUE, 0, VLOOKUP(D103,'4-Investimento-Custeio'!$B$3:$I$39,8,0))</f>
        <v>0</v>
      </c>
      <c r="P103" s="328">
        <v>0</v>
      </c>
      <c r="Q103" s="329" t="str">
        <f t="shared" si="14"/>
        <v>Em andamento</v>
      </c>
      <c r="R103" s="330">
        <f t="shared" si="15"/>
        <v>0</v>
      </c>
      <c r="S103" s="329" t="s">
        <v>1166</v>
      </c>
      <c r="T103" s="275">
        <v>58</v>
      </c>
      <c r="U103" s="218"/>
    </row>
    <row r="104" spans="1:21" s="94" customFormat="1" ht="50.1" customHeight="1" x14ac:dyDescent="0.2">
      <c r="A104" s="323" t="s">
        <v>7</v>
      </c>
      <c r="B104" s="346" t="str">
        <f>VLOOKUP(A104,'2-Inventário de Necessidades'!$A$2:$B$63,2,0)</f>
        <v>PESSOAL DE TI</v>
      </c>
      <c r="C104" s="346" t="str">
        <f>VLOOKUP(A104,'2-Inventário de Necessidades'!$A$2:$C$63,3,0)</f>
        <v>Capacitação dos servidores de TI</v>
      </c>
      <c r="D104" s="324" t="s">
        <v>91</v>
      </c>
      <c r="E104" s="325" t="s">
        <v>815</v>
      </c>
      <c r="F104" s="326" t="s">
        <v>220</v>
      </c>
      <c r="G104" s="327">
        <v>8</v>
      </c>
      <c r="H104" s="327" t="str">
        <f t="shared" si="16"/>
        <v>19 meses</v>
      </c>
      <c r="I104" s="190">
        <f>VLOOKUP($D104,'REVISÃO 2017-1 - PRIORIZAÇÃO'!$D$3:$O$95,11,0)</f>
        <v>42887</v>
      </c>
      <c r="J104" s="190">
        <f>VLOOKUP($D104,'REVISÃO 2017-1 - PRIORIZAÇÃO'!$D$3:$O$95,12,0)</f>
        <v>43435</v>
      </c>
      <c r="K104" s="190">
        <v>42370</v>
      </c>
      <c r="L104" s="354"/>
      <c r="M104" s="448" t="str">
        <f t="shared" ca="1" si="13"/>
        <v>24 meses</v>
      </c>
      <c r="N104" s="327" t="s">
        <v>296</v>
      </c>
      <c r="O104" s="442">
        <f>IF(ISERROR(VLOOKUP(D104,'4-Investimento-Custeio'!$B$3:$I$39,8,0))=TRUE, 0, VLOOKUP(D104,'4-Investimento-Custeio'!$B$3:$I$39,8,0))</f>
        <v>96271.15</v>
      </c>
      <c r="P104" s="328">
        <v>0</v>
      </c>
      <c r="Q104" s="329" t="str">
        <f t="shared" si="14"/>
        <v>Em andamento</v>
      </c>
      <c r="R104" s="330">
        <f t="shared" si="15"/>
        <v>0</v>
      </c>
      <c r="S104" s="329" t="s">
        <v>1166</v>
      </c>
      <c r="T104" s="275">
        <v>66</v>
      </c>
      <c r="U104" s="218"/>
    </row>
    <row r="105" spans="1:21" s="94" customFormat="1" ht="50.1" customHeight="1" x14ac:dyDescent="0.2">
      <c r="A105" s="323" t="s">
        <v>117</v>
      </c>
      <c r="B105" s="346" t="str">
        <f>VLOOKUP(A105,'2-Inventário de Necessidades'!$A$2:$B$63,2,0)</f>
        <v>SISTEMAS DE INFORMAÇÃO</v>
      </c>
      <c r="C105" s="346" t="str">
        <f>VLOOKUP(A105,'2-Inventário de Necessidades'!$A$2:$C$63,3,0)</f>
        <v>Aprimoramento dos serviços do portal institucional do TCE-GO</v>
      </c>
      <c r="D105" s="324" t="s">
        <v>1016</v>
      </c>
      <c r="E105" s="325" t="s">
        <v>119</v>
      </c>
      <c r="F105" s="326" t="s">
        <v>380</v>
      </c>
      <c r="G105" s="327">
        <v>2</v>
      </c>
      <c r="H105" s="327" t="str">
        <f t="shared" si="16"/>
        <v>4 meses</v>
      </c>
      <c r="I105" s="190">
        <f>VLOOKUP($D105,'REVISÃO 2017-1 - PRIORIZAÇÃO'!$D$3:$O$95,11,0)</f>
        <v>43101</v>
      </c>
      <c r="J105" s="190">
        <f>VLOOKUP($D105,'REVISÃO 2017-1 - PRIORIZAÇÃO'!$D$3:$O$95,12,0)</f>
        <v>43221</v>
      </c>
      <c r="K105" s="190">
        <v>42370</v>
      </c>
      <c r="L105" s="354"/>
      <c r="M105" s="448" t="str">
        <f t="shared" ca="1" si="13"/>
        <v>24 meses</v>
      </c>
      <c r="N105" s="327" t="s">
        <v>841</v>
      </c>
      <c r="O105" s="442">
        <f>IF(ISERROR(VLOOKUP(D105,'4-Investimento-Custeio'!$B$3:$I$39,8,0))=TRUE, 0, VLOOKUP(D105,'4-Investimento-Custeio'!$B$3:$I$39,8,0))</f>
        <v>0</v>
      </c>
      <c r="P105" s="328">
        <v>0</v>
      </c>
      <c r="Q105" s="329" t="str">
        <f t="shared" si="14"/>
        <v>Em andamento</v>
      </c>
      <c r="R105" s="330">
        <f t="shared" si="15"/>
        <v>0</v>
      </c>
      <c r="S105" s="329" t="s">
        <v>1166</v>
      </c>
      <c r="T105" s="275">
        <v>89</v>
      </c>
      <c r="U105" s="218"/>
    </row>
    <row r="106" spans="1:21" s="94" customFormat="1" ht="50.1" customHeight="1" x14ac:dyDescent="0.2">
      <c r="A106" s="323" t="s">
        <v>284</v>
      </c>
      <c r="B106" s="346" t="str">
        <f>VLOOKUP(A106,'2-Inventário de Necessidades'!$A$2:$B$63,2,0)</f>
        <v>SERVIÇOS DE TI</v>
      </c>
      <c r="C106" s="346" t="str">
        <f>VLOOKUP(A106,'2-Inventário de Necessidades'!$A$2:$C$63,3,0)</f>
        <v>Ajustar sistemas internos às necessidades do usuários.</v>
      </c>
      <c r="D106" s="324" t="s">
        <v>1056</v>
      </c>
      <c r="E106" s="325" t="s">
        <v>783</v>
      </c>
      <c r="F106" s="326" t="s">
        <v>380</v>
      </c>
      <c r="G106" s="327">
        <v>12</v>
      </c>
      <c r="H106" s="327" t="str">
        <f t="shared" si="16"/>
        <v>20 meses</v>
      </c>
      <c r="I106" s="190">
        <f>VLOOKUP($D106,'REVISÃO 2017-1 - PRIORIZAÇÃO'!$D$3:$O$95,11,0)</f>
        <v>42856</v>
      </c>
      <c r="J106" s="190">
        <f>VLOOKUP($D106,'REVISÃO 2017-1 - PRIORIZAÇÃO'!$D$3:$O$95,12,0)</f>
        <v>43435</v>
      </c>
      <c r="K106" s="190">
        <v>42370</v>
      </c>
      <c r="L106" s="354"/>
      <c r="M106" s="448" t="str">
        <f t="shared" ca="1" si="13"/>
        <v>24 meses</v>
      </c>
      <c r="N106" s="327" t="s">
        <v>295</v>
      </c>
      <c r="O106" s="442">
        <f>IF(ISERROR(VLOOKUP(D106,'4-Investimento-Custeio'!$B$3:$I$39,8,0))=TRUE, 0, VLOOKUP(D106,'4-Investimento-Custeio'!$B$3:$I$39,8,0))</f>
        <v>0</v>
      </c>
      <c r="P106" s="328">
        <v>0</v>
      </c>
      <c r="Q106" s="329" t="str">
        <f t="shared" si="14"/>
        <v>Em andamento</v>
      </c>
      <c r="R106" s="330">
        <f t="shared" si="15"/>
        <v>0</v>
      </c>
      <c r="S106" s="329" t="s">
        <v>1166</v>
      </c>
      <c r="T106" s="275">
        <v>139</v>
      </c>
      <c r="U106" s="218"/>
    </row>
    <row r="107" spans="1:21" s="94" customFormat="1" ht="50.1" customHeight="1" x14ac:dyDescent="0.2">
      <c r="A107" s="323" t="s">
        <v>781</v>
      </c>
      <c r="B107" s="346" t="str">
        <f>VLOOKUP(A107,'2-Inventário de Necessidades'!$A$2:$B$63,2,0)</f>
        <v>GOVERNANÇA E GESTÃO DE TI</v>
      </c>
      <c r="C107" s="346" t="str">
        <f>VLOOKUP(A107,'2-Inventário de Necessidades'!$A$2:$C$63,3,0)</f>
        <v>Prover serviços de apoio técnico, realizar o gerenciamento de contratos, ativos e soluções de TI</v>
      </c>
      <c r="D107" s="324" t="s">
        <v>1053</v>
      </c>
      <c r="E107" s="325" t="s">
        <v>822</v>
      </c>
      <c r="F107" s="326" t="s">
        <v>380</v>
      </c>
      <c r="G107" s="327">
        <v>12</v>
      </c>
      <c r="H107" s="327" t="str">
        <f t="shared" si="16"/>
        <v>20 meses</v>
      </c>
      <c r="I107" s="190">
        <f>VLOOKUP($D107,'REVISÃO 2017-1 - PRIORIZAÇÃO'!$D$3:$O$95,11,0)</f>
        <v>42856</v>
      </c>
      <c r="J107" s="190">
        <f>VLOOKUP($D107,'REVISÃO 2017-1 - PRIORIZAÇÃO'!$D$3:$O$95,12,0)</f>
        <v>43435</v>
      </c>
      <c r="K107" s="190">
        <v>42370</v>
      </c>
      <c r="L107" s="354"/>
      <c r="M107" s="448" t="str">
        <f t="shared" ca="1" si="13"/>
        <v>24 meses</v>
      </c>
      <c r="N107" s="327" t="s">
        <v>841</v>
      </c>
      <c r="O107" s="442">
        <f>IF(ISERROR(VLOOKUP(D107,'4-Investimento-Custeio'!$B$3:$I$39,8,0))=TRUE, 0, VLOOKUP(D107,'4-Investimento-Custeio'!$B$3:$I$39,8,0))</f>
        <v>0</v>
      </c>
      <c r="P107" s="328">
        <v>0</v>
      </c>
      <c r="Q107" s="329" t="str">
        <f t="shared" si="14"/>
        <v>Em andamento</v>
      </c>
      <c r="R107" s="330">
        <f t="shared" si="15"/>
        <v>0</v>
      </c>
      <c r="S107" s="329" t="s">
        <v>1166</v>
      </c>
      <c r="T107" s="275">
        <v>155</v>
      </c>
      <c r="U107" s="218"/>
    </row>
    <row r="108" spans="1:21" s="94" customFormat="1" ht="50.1" customHeight="1" x14ac:dyDescent="0.2">
      <c r="A108" s="323" t="s">
        <v>781</v>
      </c>
      <c r="B108" s="346" t="str">
        <f>VLOOKUP(A108,'2-Inventário de Necessidades'!$A$2:$B$63,2,0)</f>
        <v>GOVERNANÇA E GESTÃO DE TI</v>
      </c>
      <c r="C108" s="346" t="str">
        <f>VLOOKUP(A108,'2-Inventário de Necessidades'!$A$2:$C$63,3,0)</f>
        <v>Prover serviços de apoio técnico, realizar o gerenciamento de contratos, ativos e soluções de TI</v>
      </c>
      <c r="D108" s="324" t="s">
        <v>1041</v>
      </c>
      <c r="E108" s="325" t="s">
        <v>807</v>
      </c>
      <c r="F108" s="326" t="s">
        <v>380</v>
      </c>
      <c r="G108" s="327">
        <v>12</v>
      </c>
      <c r="H108" s="327" t="str">
        <f t="shared" si="16"/>
        <v>8 meses</v>
      </c>
      <c r="I108" s="190">
        <f>VLOOKUP($D108,'REVISÃO 2017-1 - PRIORIZAÇÃO'!$D$3:$O$95,11,0)</f>
        <v>42856</v>
      </c>
      <c r="J108" s="190">
        <f>VLOOKUP($D108,'REVISÃO 2017-1 - PRIORIZAÇÃO'!$D$3:$O$95,12,0)</f>
        <v>43070</v>
      </c>
      <c r="K108" s="190">
        <v>42370</v>
      </c>
      <c r="L108" s="354"/>
      <c r="M108" s="448" t="str">
        <f t="shared" ca="1" si="13"/>
        <v>24 meses</v>
      </c>
      <c r="N108" s="327" t="s">
        <v>841</v>
      </c>
      <c r="O108" s="442">
        <f>IF(ISERROR(VLOOKUP(D108,'4-Investimento-Custeio'!$B$3:$I$39,8,0))=TRUE, 0, VLOOKUP(D108,'4-Investimento-Custeio'!$B$3:$I$39,8,0))</f>
        <v>0</v>
      </c>
      <c r="P108" s="328">
        <v>0</v>
      </c>
      <c r="Q108" s="329" t="str">
        <f t="shared" si="14"/>
        <v>Em andamento</v>
      </c>
      <c r="R108" s="330">
        <f t="shared" si="15"/>
        <v>0</v>
      </c>
      <c r="S108" s="329" t="s">
        <v>1166</v>
      </c>
      <c r="T108" s="275">
        <v>156</v>
      </c>
      <c r="U108" s="218"/>
    </row>
    <row r="109" spans="1:21" s="94" customFormat="1" ht="50.1" customHeight="1" x14ac:dyDescent="0.2">
      <c r="A109" s="323" t="s">
        <v>781</v>
      </c>
      <c r="B109" s="346" t="str">
        <f>VLOOKUP(A109,'2-Inventário de Necessidades'!$A$2:$B$63,2,0)</f>
        <v>GOVERNANÇA E GESTÃO DE TI</v>
      </c>
      <c r="C109" s="346" t="str">
        <f>VLOOKUP(A109,'2-Inventário de Necessidades'!$A$2:$C$63,3,0)</f>
        <v>Prover serviços de apoio técnico, realizar o gerenciamento de contratos, ativos e soluções de TI</v>
      </c>
      <c r="D109" s="324" t="s">
        <v>1082</v>
      </c>
      <c r="E109" s="325" t="s">
        <v>831</v>
      </c>
      <c r="F109" s="326" t="s">
        <v>825</v>
      </c>
      <c r="G109" s="327">
        <v>12</v>
      </c>
      <c r="H109" s="327" t="str">
        <f t="shared" si="16"/>
        <v>24 meses</v>
      </c>
      <c r="I109" s="190">
        <f>VLOOKUP($D109,'REVISÃO 2017-1 - PRIORIZAÇÃO'!$D$3:$O$95,11,0)</f>
        <v>42736</v>
      </c>
      <c r="J109" s="190">
        <f>VLOOKUP($D109,'REVISÃO 2017-1 - PRIORIZAÇÃO'!$D$3:$O$95,12,0)</f>
        <v>43435</v>
      </c>
      <c r="K109" s="190">
        <v>42370</v>
      </c>
      <c r="L109" s="354"/>
      <c r="M109" s="448" t="str">
        <f t="shared" ca="1" si="13"/>
        <v>24 meses</v>
      </c>
      <c r="N109" s="327" t="s">
        <v>295</v>
      </c>
      <c r="O109" s="442">
        <f>IF(ISERROR(VLOOKUP(D109,'4-Investimento-Custeio'!$B$3:$I$39,8,0))=TRUE, 0, VLOOKUP(D109,'4-Investimento-Custeio'!$B$3:$I$39,8,0))</f>
        <v>0</v>
      </c>
      <c r="P109" s="328">
        <v>0</v>
      </c>
      <c r="Q109" s="329" t="str">
        <f t="shared" si="14"/>
        <v>Em andamento</v>
      </c>
      <c r="R109" s="330">
        <f t="shared" si="15"/>
        <v>0</v>
      </c>
      <c r="S109" s="329" t="s">
        <v>1166</v>
      </c>
      <c r="T109" s="275">
        <v>157</v>
      </c>
      <c r="U109" s="218"/>
    </row>
    <row r="110" spans="1:21" s="94" customFormat="1" ht="50.1" customHeight="1" x14ac:dyDescent="0.2">
      <c r="A110" s="323" t="s">
        <v>781</v>
      </c>
      <c r="B110" s="346" t="str">
        <f>VLOOKUP(A110,'2-Inventário de Necessidades'!$A$2:$B$63,2,0)</f>
        <v>GOVERNANÇA E GESTÃO DE TI</v>
      </c>
      <c r="C110" s="346" t="str">
        <f>VLOOKUP(A110,'2-Inventário de Necessidades'!$A$2:$C$63,3,0)</f>
        <v>Prover serviços de apoio técnico, realizar o gerenciamento de contratos, ativos e soluções de TI</v>
      </c>
      <c r="D110" s="324" t="s">
        <v>1055</v>
      </c>
      <c r="E110" s="325" t="s">
        <v>792</v>
      </c>
      <c r="F110" s="326" t="s">
        <v>825</v>
      </c>
      <c r="G110" s="327">
        <v>12</v>
      </c>
      <c r="H110" s="327" t="str">
        <f t="shared" si="16"/>
        <v>24 meses</v>
      </c>
      <c r="I110" s="190">
        <f>VLOOKUP($D110,'REVISÃO 2017-1 - PRIORIZAÇÃO'!$D$3:$O$95,11,0)</f>
        <v>42736</v>
      </c>
      <c r="J110" s="190">
        <f>VLOOKUP($D110,'REVISÃO 2017-1 - PRIORIZAÇÃO'!$D$3:$O$95,12,0)</f>
        <v>43435</v>
      </c>
      <c r="K110" s="190">
        <v>42370</v>
      </c>
      <c r="L110" s="354"/>
      <c r="M110" s="448" t="str">
        <f t="shared" ca="1" si="13"/>
        <v>24 meses</v>
      </c>
      <c r="N110" s="327" t="s">
        <v>295</v>
      </c>
      <c r="O110" s="442">
        <f>IF(ISERROR(VLOOKUP(D110,'4-Investimento-Custeio'!$B$3:$I$39,8,0))=TRUE, 0, VLOOKUP(D110,'4-Investimento-Custeio'!$B$3:$I$39,8,0))</f>
        <v>0</v>
      </c>
      <c r="P110" s="328">
        <v>0</v>
      </c>
      <c r="Q110" s="329" t="str">
        <f t="shared" si="14"/>
        <v>Em andamento</v>
      </c>
      <c r="R110" s="330">
        <f t="shared" si="15"/>
        <v>0</v>
      </c>
      <c r="S110" s="329" t="s">
        <v>1166</v>
      </c>
      <c r="T110" s="275">
        <v>158</v>
      </c>
      <c r="U110" s="218"/>
    </row>
    <row r="111" spans="1:21" s="247" customFormat="1" ht="50.1" customHeight="1" x14ac:dyDescent="0.2">
      <c r="A111" s="323" t="s">
        <v>781</v>
      </c>
      <c r="B111" s="346" t="str">
        <f>VLOOKUP(A111,'2-Inventário de Necessidades'!$A$2:$B$63,2,0)</f>
        <v>GOVERNANÇA E GESTÃO DE TI</v>
      </c>
      <c r="C111" s="346" t="str">
        <f>VLOOKUP(A111,'2-Inventário de Necessidades'!$A$2:$C$63,3,0)</f>
        <v>Prover serviços de apoio técnico, realizar o gerenciamento de contratos, ativos e soluções de TI</v>
      </c>
      <c r="D111" s="324" t="s">
        <v>839</v>
      </c>
      <c r="E111" s="325" t="s">
        <v>780</v>
      </c>
      <c r="F111" s="326" t="s">
        <v>825</v>
      </c>
      <c r="G111" s="327">
        <v>12</v>
      </c>
      <c r="H111" s="327" t="str">
        <f t="shared" si="16"/>
        <v>24 meses</v>
      </c>
      <c r="I111" s="190">
        <f>VLOOKUP($D111,'REVISÃO 2017-1 - PRIORIZAÇÃO'!$D$3:$O$95,11,0)</f>
        <v>42736</v>
      </c>
      <c r="J111" s="190">
        <f>VLOOKUP($D111,'REVISÃO 2017-1 - PRIORIZAÇÃO'!$D$3:$O$95,12,0)</f>
        <v>43435</v>
      </c>
      <c r="K111" s="190">
        <v>42370</v>
      </c>
      <c r="L111" s="354"/>
      <c r="M111" s="448" t="str">
        <f t="shared" ca="1" si="13"/>
        <v>24 meses</v>
      </c>
      <c r="N111" s="327" t="s">
        <v>295</v>
      </c>
      <c r="O111" s="442">
        <f>IF(ISERROR(VLOOKUP(D111,'4-Investimento-Custeio'!$B$3:$I$39,8,0))=TRUE, 0, VLOOKUP(D111,'4-Investimento-Custeio'!$B$3:$I$39,8,0))</f>
        <v>720000</v>
      </c>
      <c r="P111" s="328">
        <f>(16325*10)+13382.92+69911.66</f>
        <v>246544.58000000002</v>
      </c>
      <c r="Q111" s="329" t="str">
        <f t="shared" si="14"/>
        <v>Em andamento</v>
      </c>
      <c r="R111" s="330">
        <f t="shared" si="15"/>
        <v>0</v>
      </c>
      <c r="S111" s="329" t="s">
        <v>1166</v>
      </c>
      <c r="T111" s="275">
        <v>160</v>
      </c>
      <c r="U111" s="218"/>
    </row>
    <row r="112" spans="1:21" ht="50.1" customHeight="1" x14ac:dyDescent="0.2">
      <c r="A112" s="323" t="s">
        <v>781</v>
      </c>
      <c r="B112" s="346" t="str">
        <f>VLOOKUP(A112,'2-Inventário de Necessidades'!$A$2:$B$63,2,0)</f>
        <v>GOVERNANÇA E GESTÃO DE TI</v>
      </c>
      <c r="C112" s="346" t="str">
        <f>VLOOKUP(A112,'2-Inventário de Necessidades'!$A$2:$C$63,3,0)</f>
        <v>Prover serviços de apoio técnico, realizar o gerenciamento de contratos, ativos e soluções de TI</v>
      </c>
      <c r="D112" s="324" t="s">
        <v>1058</v>
      </c>
      <c r="E112" s="325" t="s">
        <v>808</v>
      </c>
      <c r="F112" s="326" t="s">
        <v>825</v>
      </c>
      <c r="G112" s="327">
        <v>12</v>
      </c>
      <c r="H112" s="327" t="str">
        <f t="shared" si="16"/>
        <v>24 meses</v>
      </c>
      <c r="I112" s="190">
        <f>VLOOKUP($D112,'REVISÃO 2017-1 - PRIORIZAÇÃO'!$D$3:$O$95,11,0)</f>
        <v>42736</v>
      </c>
      <c r="J112" s="190">
        <f>VLOOKUP($D112,'REVISÃO 2017-1 - PRIORIZAÇÃO'!$D$3:$O$95,12,0)</f>
        <v>43435</v>
      </c>
      <c r="K112" s="190">
        <v>42370</v>
      </c>
      <c r="L112" s="354"/>
      <c r="M112" s="448" t="str">
        <f t="shared" ca="1" si="13"/>
        <v>24 meses</v>
      </c>
      <c r="N112" s="327" t="s">
        <v>295</v>
      </c>
      <c r="O112" s="442">
        <f>IF(ISERROR(VLOOKUP(D112,'4-Investimento-Custeio'!$B$3:$I$39,8,0))=TRUE, 0, VLOOKUP(D112,'4-Investimento-Custeio'!$B$3:$I$39,8,0))</f>
        <v>0</v>
      </c>
      <c r="P112" s="328">
        <f>310+62720+26668.67+129772.66+3430.29+93000+35000+164213.5+2480+74214.23+8500.44+142209.58</f>
        <v>742519.36999999988</v>
      </c>
      <c r="Q112" s="329" t="str">
        <f t="shared" si="14"/>
        <v>Em andamento</v>
      </c>
      <c r="R112" s="330">
        <f t="shared" si="15"/>
        <v>0</v>
      </c>
      <c r="S112" s="329" t="s">
        <v>1166</v>
      </c>
      <c r="T112" s="275">
        <v>161</v>
      </c>
      <c r="U112" s="218"/>
    </row>
    <row r="113" spans="1:21" ht="50.1" customHeight="1" x14ac:dyDescent="0.2">
      <c r="A113" s="323" t="s">
        <v>781</v>
      </c>
      <c r="B113" s="346" t="str">
        <f>VLOOKUP(A113,'2-Inventário de Necessidades'!$A$2:$B$63,2,0)</f>
        <v>GOVERNANÇA E GESTÃO DE TI</v>
      </c>
      <c r="C113" s="346" t="str">
        <f>VLOOKUP(A113,'2-Inventário de Necessidades'!$A$2:$C$63,3,0)</f>
        <v>Prover serviços de apoio técnico, realizar o gerenciamento de contratos, ativos e soluções de TI</v>
      </c>
      <c r="D113" s="324" t="s">
        <v>1057</v>
      </c>
      <c r="E113" s="325" t="s">
        <v>782</v>
      </c>
      <c r="F113" s="326" t="s">
        <v>220</v>
      </c>
      <c r="G113" s="327">
        <v>12</v>
      </c>
      <c r="H113" s="327" t="str">
        <f t="shared" si="16"/>
        <v>24 meses</v>
      </c>
      <c r="I113" s="190">
        <f>VLOOKUP($D113,'REVISÃO 2017-1 - PRIORIZAÇÃO'!$D$3:$O$95,11,0)</f>
        <v>42736</v>
      </c>
      <c r="J113" s="190">
        <f>VLOOKUP($D113,'REVISÃO 2017-1 - PRIORIZAÇÃO'!$D$3:$O$95,12,0)</f>
        <v>43435</v>
      </c>
      <c r="K113" s="190">
        <v>42370</v>
      </c>
      <c r="L113" s="354"/>
      <c r="M113" s="448" t="str">
        <f t="shared" ca="1" si="13"/>
        <v>24 meses</v>
      </c>
      <c r="N113" s="327" t="s">
        <v>295</v>
      </c>
      <c r="O113" s="442">
        <f>IF(ISERROR(VLOOKUP(D113,'4-Investimento-Custeio'!$B$3:$I$39,8,0))=TRUE, 0, VLOOKUP(D113,'4-Investimento-Custeio'!$B$3:$I$39,8,0))</f>
        <v>0</v>
      </c>
      <c r="P113" s="328">
        <f>119485.15+98518.14+114749.96+107785.6+102396.32+118564.16+115187.24+130195.3+124277.34+29589.84+81523.9+121122.88+736797.8</f>
        <v>2000193.6300000001</v>
      </c>
      <c r="Q113" s="329" t="str">
        <f t="shared" si="14"/>
        <v>Em andamento</v>
      </c>
      <c r="R113" s="330">
        <f t="shared" si="15"/>
        <v>0</v>
      </c>
      <c r="S113" s="329" t="s">
        <v>1166</v>
      </c>
      <c r="T113" s="275">
        <v>159</v>
      </c>
      <c r="U113" s="218"/>
    </row>
    <row r="114" spans="1:21" ht="50.1" customHeight="1" x14ac:dyDescent="0.2">
      <c r="A114" s="407" t="str">
        <f>SUBSTITUTE(LEFT(D114,3),"A", "NC")</f>
        <v>NC31</v>
      </c>
      <c r="B114" s="408" t="str">
        <f>VLOOKUP(A114,'2-Inventário de Necessidades'!$A$2:$B$63,2,0)</f>
        <v>SISTEMAS DE INFORMAÇÃO</v>
      </c>
      <c r="C114" s="408" t="str">
        <f>VLOOKUP(A114,'2-Inventário de Necessidades'!$A$2:$C$63,3,0)</f>
        <v>Aprimoramento dos serviços do portal institucional do TCE-GO</v>
      </c>
      <c r="D114" s="409" t="s">
        <v>1131</v>
      </c>
      <c r="E114" s="410" t="s">
        <v>1132</v>
      </c>
      <c r="F114" s="411" t="s">
        <v>380</v>
      </c>
      <c r="G114" s="412"/>
      <c r="H114" s="335"/>
      <c r="I114" s="336">
        <f>VLOOKUP($D114,'REVISÃO 2017-1 - PRIORIZAÇÃO'!$D$2:$O$95,11,0)</f>
        <v>42856</v>
      </c>
      <c r="J114" s="336">
        <f>VLOOKUP($D114,'REVISÃO 2017-1 - PRIORIZAÇÃO'!$D$2:$O$95,12,0)</f>
        <v>42917</v>
      </c>
      <c r="K114" s="336">
        <v>42856</v>
      </c>
      <c r="L114" s="336"/>
      <c r="M114" s="449" t="str">
        <f t="shared" ca="1" si="13"/>
        <v>8 meses</v>
      </c>
      <c r="N114" s="412"/>
      <c r="O114" s="443">
        <f>IF(ISERROR(VLOOKUP(D114,'4-Investimento-Custeio'!$B$3:$I$39,8,0))=TRUE, 0, VLOOKUP(D114,'4-Investimento-Custeio'!$B$3:$I$39,8,0))</f>
        <v>0</v>
      </c>
      <c r="P114" s="337">
        <v>0</v>
      </c>
      <c r="Q114" s="412" t="str">
        <f t="shared" si="14"/>
        <v>Em andamento</v>
      </c>
      <c r="R114" s="412">
        <f t="shared" si="15"/>
        <v>0</v>
      </c>
      <c r="S114" s="338" t="s">
        <v>1394</v>
      </c>
      <c r="T114" s="275">
        <v>93</v>
      </c>
      <c r="U114" s="218" t="s">
        <v>1179</v>
      </c>
    </row>
    <row r="115" spans="1:21" ht="50.1" customHeight="1" x14ac:dyDescent="0.2">
      <c r="A115" s="331" t="s">
        <v>180</v>
      </c>
      <c r="B115" s="345" t="str">
        <f>VLOOKUP(A115,'2-Inventário de Necessidades'!$A$2:$B$63,2,0)</f>
        <v>SISTEMAS DE INFORMAÇÃO</v>
      </c>
      <c r="C115" s="345" t="str">
        <f>VLOOKUP(A115,'2-Inventário de Necessidades'!$A$2:$C$63,3,0)</f>
        <v>Desenvolver solução para solicitação de diárias</v>
      </c>
      <c r="D115" s="332" t="s">
        <v>1030</v>
      </c>
      <c r="E115" s="333" t="s">
        <v>182</v>
      </c>
      <c r="F115" s="334" t="s">
        <v>380</v>
      </c>
      <c r="G115" s="335">
        <v>2</v>
      </c>
      <c r="H115" s="335" t="str">
        <f t="shared" ref="H115:H120" si="17">IF(
 ROUNDUP(SUM((J115-I115)/30),0)&gt;0,
 CONCATENATE(ROUNDUP(SUM((J115-I115)/30),0)," meses"),
  IF((G115*3)&lt;5,
  CONCATENATE(((G115*3)-1)," a ",G115*3," meses"),
   IF((G115*3)&gt;11,
   CONCATENATE("Superior a ", SUM((G115*3)/12)," ano(s)"),
   CONCATENATE(((G115*3)-1)," a ",G115*3," meses")
   )
  )
 )</f>
        <v>4 meses</v>
      </c>
      <c r="I115" s="336">
        <f>VLOOKUP($D115,'REVISÃO 2017-1 - PRIORIZAÇÃO'!$D$3:$O$95,11,0)</f>
        <v>42856</v>
      </c>
      <c r="J115" s="336">
        <f>VLOOKUP($D115,'REVISÃO 2017-1 - PRIORIZAÇÃO'!$D$3:$O$95,12,0)</f>
        <v>42948</v>
      </c>
      <c r="K115" s="336">
        <v>42430</v>
      </c>
      <c r="L115" s="340"/>
      <c r="M115" s="449" t="str">
        <f t="shared" ca="1" si="13"/>
        <v>22 meses</v>
      </c>
      <c r="N115" s="335" t="s">
        <v>841</v>
      </c>
      <c r="O115" s="443">
        <f>IF(ISERROR(VLOOKUP(D115,'4-Investimento-Custeio'!$B$3:$I$39,8,0))=TRUE, 0, VLOOKUP(D115,'4-Investimento-Custeio'!$B$3:$I$39,8,0))</f>
        <v>0</v>
      </c>
      <c r="P115" s="337">
        <v>0</v>
      </c>
      <c r="Q115" s="338" t="str">
        <f t="shared" si="14"/>
        <v>Em andamento</v>
      </c>
      <c r="R115" s="339">
        <f t="shared" si="15"/>
        <v>0</v>
      </c>
      <c r="S115" s="338" t="s">
        <v>1167</v>
      </c>
      <c r="T115" s="275">
        <v>126</v>
      </c>
      <c r="U115" s="218"/>
    </row>
    <row r="116" spans="1:21" ht="50.1" customHeight="1" x14ac:dyDescent="0.2">
      <c r="A116" s="542" t="s">
        <v>50</v>
      </c>
      <c r="B116" s="543" t="str">
        <f>VLOOKUP(A116,'2-Inventário de Necessidades'!$A$2:$B$63,2,0)</f>
        <v>GOVERNANÇA E GESTÃO DE TI</v>
      </c>
      <c r="C116" s="543" t="str">
        <f>VLOOKUP(A116,'2-Inventário de Necessidades'!$A$2:$C$63,3,0)</f>
        <v>Elaboração e execução de gerenciamento de portfólio de projetos de TI</v>
      </c>
      <c r="D116" s="544" t="s">
        <v>1045</v>
      </c>
      <c r="E116" s="545" t="s">
        <v>52</v>
      </c>
      <c r="F116" s="546" t="s">
        <v>220</v>
      </c>
      <c r="G116" s="547">
        <v>1</v>
      </c>
      <c r="H116" s="547" t="str">
        <f t="shared" si="17"/>
        <v>14 meses</v>
      </c>
      <c r="I116" s="548">
        <f>VLOOKUP($D116,'REVISÃO 2017-1 - PRIORIZAÇÃO'!$D$2:$O$95,11,0)</f>
        <v>42736</v>
      </c>
      <c r="J116" s="548">
        <v>43132</v>
      </c>
      <c r="K116" s="548">
        <v>42583</v>
      </c>
      <c r="L116" s="548"/>
      <c r="M116" s="549" t="str">
        <f t="shared" ca="1" si="13"/>
        <v>17 meses</v>
      </c>
      <c r="N116" s="547" t="s">
        <v>295</v>
      </c>
      <c r="O116" s="550">
        <f>IF(ISERROR(VLOOKUP(D116,'4-Investimento-Custeio'!$B$3:$I$39,8,0))=TRUE, 0, VLOOKUP(D116,'4-Investimento-Custeio'!$B$3:$I$39,8,0))</f>
        <v>0</v>
      </c>
      <c r="P116" s="551">
        <v>0</v>
      </c>
      <c r="Q116" s="552" t="str">
        <f t="shared" si="14"/>
        <v>Em andamento</v>
      </c>
      <c r="R116" s="553">
        <f t="shared" si="15"/>
        <v>0</v>
      </c>
      <c r="S116" s="552" t="s">
        <v>1168</v>
      </c>
      <c r="T116" s="275">
        <v>38</v>
      </c>
      <c r="U116" s="218"/>
    </row>
    <row r="117" spans="1:21" ht="50.1" customHeight="1" x14ac:dyDescent="0.2">
      <c r="A117" s="542" t="s">
        <v>65</v>
      </c>
      <c r="B117" s="543" t="str">
        <f>VLOOKUP(A117,'2-Inventário de Necessidades'!$A$2:$B$63,2,0)</f>
        <v>SISTEMAS DE INFORMAÇÃO</v>
      </c>
      <c r="C117" s="543" t="str">
        <f>VLOOKUP(A117,'2-Inventário de Necessidades'!$A$2:$C$63,3,0)</f>
        <v>Conclusão da implantação de processo eletrônico</v>
      </c>
      <c r="D117" s="544" t="s">
        <v>1014</v>
      </c>
      <c r="E117" s="545" t="s">
        <v>67</v>
      </c>
      <c r="F117" s="546" t="s">
        <v>380</v>
      </c>
      <c r="G117" s="547">
        <v>3</v>
      </c>
      <c r="H117" s="547" t="str">
        <f t="shared" si="17"/>
        <v>20 meses</v>
      </c>
      <c r="I117" s="548">
        <f>VLOOKUP($D117,'REVISÃO 2017-1 - PRIORIZAÇÃO'!$D$2:$O$95,11,0)</f>
        <v>42856</v>
      </c>
      <c r="J117" s="548">
        <f>VLOOKUP($D117,'REVISÃO 2017-1 - PRIORIZAÇÃO'!$D$2:$O$95,12,0)</f>
        <v>43435</v>
      </c>
      <c r="K117" s="548">
        <v>42736</v>
      </c>
      <c r="L117" s="548"/>
      <c r="M117" s="549" t="str">
        <f t="shared" ca="1" si="13"/>
        <v>12 meses</v>
      </c>
      <c r="N117" s="547" t="s">
        <v>841</v>
      </c>
      <c r="O117" s="550">
        <f>IF(ISERROR(VLOOKUP(D117,'4-Investimento-Custeio'!$B$3:$I$39,8,0))=TRUE, 0, VLOOKUP(D117,'4-Investimento-Custeio'!$B$3:$I$39,8,0))</f>
        <v>0</v>
      </c>
      <c r="P117" s="551">
        <v>0</v>
      </c>
      <c r="Q117" s="552" t="str">
        <f t="shared" si="14"/>
        <v>Em andamento</v>
      </c>
      <c r="R117" s="553">
        <f t="shared" si="15"/>
        <v>0</v>
      </c>
      <c r="S117" s="552" t="s">
        <v>1168</v>
      </c>
      <c r="T117" s="275">
        <v>51</v>
      </c>
      <c r="U117" s="218" t="s">
        <v>1180</v>
      </c>
    </row>
    <row r="118" spans="1:21" ht="50.1" customHeight="1" x14ac:dyDescent="0.2">
      <c r="A118" s="542" t="s">
        <v>5</v>
      </c>
      <c r="B118" s="543" t="str">
        <f>VLOOKUP(A118,'2-Inventário de Necessidades'!$A$2:$B$63,2,0)</f>
        <v>INFRAESTRUTURA DE TI</v>
      </c>
      <c r="C118" s="543" t="str">
        <f>VLOOKUP(A118,'2-Inventário de Necessidades'!$A$2:$C$63,3,0)</f>
        <v>Modernização do parque tecnológico</v>
      </c>
      <c r="D118" s="544" t="s">
        <v>77</v>
      </c>
      <c r="E118" s="545" t="s">
        <v>79</v>
      </c>
      <c r="F118" s="546" t="s">
        <v>825</v>
      </c>
      <c r="G118" s="547">
        <v>1</v>
      </c>
      <c r="H118" s="547" t="str">
        <f t="shared" si="17"/>
        <v>12 meses</v>
      </c>
      <c r="I118" s="548">
        <f>VLOOKUP($D118,'REVISÃO 2017-1 - PRIORIZAÇÃO'!$D$2:$O$95,11,0)</f>
        <v>43101</v>
      </c>
      <c r="J118" s="548">
        <f>VLOOKUP($D118,'REVISÃO 2017-1 - PRIORIZAÇÃO'!$D$2:$O$95,12,0)</f>
        <v>43435</v>
      </c>
      <c r="K118" s="548">
        <v>43009</v>
      </c>
      <c r="L118" s="548"/>
      <c r="M118" s="549" t="str">
        <f t="shared" ca="1" si="13"/>
        <v>3 meses</v>
      </c>
      <c r="N118" s="547" t="s">
        <v>296</v>
      </c>
      <c r="O118" s="550">
        <f>IF(ISERROR(VLOOKUP(D118,'4-Investimento-Custeio'!$B$3:$I$39,8,0))=TRUE, 0, VLOOKUP(D118,'4-Investimento-Custeio'!$B$3:$I$39,8,0))</f>
        <v>320000</v>
      </c>
      <c r="P118" s="551">
        <v>0</v>
      </c>
      <c r="Q118" s="552" t="str">
        <f t="shared" si="14"/>
        <v>Em andamento</v>
      </c>
      <c r="R118" s="553">
        <f t="shared" si="15"/>
        <v>0</v>
      </c>
      <c r="S118" s="552" t="s">
        <v>1168</v>
      </c>
      <c r="T118" s="275">
        <v>57</v>
      </c>
      <c r="U118" s="218"/>
    </row>
    <row r="119" spans="1:21" ht="50.1" customHeight="1" x14ac:dyDescent="0.2">
      <c r="A119" s="542" t="s">
        <v>145</v>
      </c>
      <c r="B119" s="543" t="str">
        <f>VLOOKUP(A119,'2-Inventário de Necessidades'!$A$2:$B$63,2,0)</f>
        <v>SISTEMAS DE INFORMAÇÃO</v>
      </c>
      <c r="C119" s="543" t="str">
        <f>VLOOKUP(A119,'2-Inventário de Necessidades'!$A$2:$C$63,3,0)</f>
        <v>Aquisição de softwares aplicativos</v>
      </c>
      <c r="D119" s="544" t="s">
        <v>157</v>
      </c>
      <c r="E119" s="545" t="s">
        <v>845</v>
      </c>
      <c r="F119" s="546" t="s">
        <v>220</v>
      </c>
      <c r="G119" s="547">
        <v>1</v>
      </c>
      <c r="H119" s="547" t="str">
        <f t="shared" si="17"/>
        <v>17 meses</v>
      </c>
      <c r="I119" s="548">
        <f>VLOOKUP($D119,'REVISÃO 2017-1 - PRIORIZAÇÃO'!$D$2:$O$95,11,0)</f>
        <v>42948</v>
      </c>
      <c r="J119" s="548">
        <f>VLOOKUP($D119,'REVISÃO 2017-1 - PRIORIZAÇÃO'!$D$2:$O$95,12,0)</f>
        <v>43435</v>
      </c>
      <c r="K119" s="548">
        <v>42795</v>
      </c>
      <c r="L119" s="548"/>
      <c r="M119" s="549" t="str">
        <f t="shared" ca="1" si="13"/>
        <v>10 meses</v>
      </c>
      <c r="N119" s="547" t="s">
        <v>296</v>
      </c>
      <c r="O119" s="550">
        <f>IF(ISERROR(VLOOKUP(D119,'4-Investimento-Custeio'!$B$3:$I$39,8,0))=TRUE, 0, VLOOKUP(D119,'4-Investimento-Custeio'!$B$3:$I$39,8,0))</f>
        <v>260000</v>
      </c>
      <c r="P119" s="551">
        <v>0</v>
      </c>
      <c r="Q119" s="552" t="str">
        <f t="shared" si="14"/>
        <v>Em andamento</v>
      </c>
      <c r="R119" s="553">
        <f t="shared" si="15"/>
        <v>0</v>
      </c>
      <c r="S119" s="552" t="s">
        <v>1168</v>
      </c>
      <c r="T119" s="275">
        <v>112</v>
      </c>
      <c r="U119" s="218"/>
    </row>
    <row r="120" spans="1:21" ht="50.1" customHeight="1" x14ac:dyDescent="0.2">
      <c r="A120" s="542" t="s">
        <v>175</v>
      </c>
      <c r="B120" s="543" t="str">
        <f>VLOOKUP(A120,'2-Inventário de Necessidades'!$A$2:$B$63,2,0)</f>
        <v>SERVIÇOS DE TI</v>
      </c>
      <c r="C120" s="543" t="str">
        <f>VLOOKUP(A120,'2-Inventário de Necessidades'!$A$2:$C$63,3,0)</f>
        <v>Definição de Padrões de TI (Arquitetura, Código, BD) e documentá-los (elaborar/revisar Manuais de Sistemas, Guias)</v>
      </c>
      <c r="D120" s="544" t="s">
        <v>1072</v>
      </c>
      <c r="E120" s="545" t="s">
        <v>809</v>
      </c>
      <c r="F120" s="546" t="s">
        <v>825</v>
      </c>
      <c r="G120" s="547">
        <v>2</v>
      </c>
      <c r="H120" s="547" t="str">
        <f t="shared" si="17"/>
        <v>24 meses</v>
      </c>
      <c r="I120" s="548">
        <f>VLOOKUP($D120,'REVISÃO 2017-1 - PRIORIZAÇÃO'!$D$2:$O$95,11,0)</f>
        <v>42736</v>
      </c>
      <c r="J120" s="548">
        <f>VLOOKUP($D120,'REVISÃO 2017-1 - PRIORIZAÇÃO'!$D$2:$O$95,12,0)</f>
        <v>43435</v>
      </c>
      <c r="K120" s="548">
        <v>43009</v>
      </c>
      <c r="L120" s="548"/>
      <c r="M120" s="549" t="str">
        <f t="shared" ca="1" si="13"/>
        <v>3 meses</v>
      </c>
      <c r="N120" s="547" t="s">
        <v>295</v>
      </c>
      <c r="O120" s="550">
        <f>IF(ISERROR(VLOOKUP(D120,'4-Investimento-Custeio'!$B$3:$I$39,8,0))=TRUE, 0, VLOOKUP(D120,'4-Investimento-Custeio'!$B$3:$I$39,8,0))</f>
        <v>0</v>
      </c>
      <c r="P120" s="551">
        <v>0</v>
      </c>
      <c r="Q120" s="552" t="str">
        <f t="shared" si="14"/>
        <v>Em andamento</v>
      </c>
      <c r="R120" s="553">
        <f t="shared" si="15"/>
        <v>0</v>
      </c>
      <c r="S120" s="552" t="s">
        <v>1168</v>
      </c>
      <c r="T120" s="275">
        <v>123</v>
      </c>
      <c r="U120" s="218"/>
    </row>
    <row r="121" spans="1:21" ht="50.1" customHeight="1" x14ac:dyDescent="0.2">
      <c r="A121" s="554" t="str">
        <f>SUBSTITUTE(LEFT(D121,3),"A", "NC")</f>
        <v>NC56</v>
      </c>
      <c r="B121" s="555" t="str">
        <f>VLOOKUP(A121,'2-Inventário de Necessidades'!$A$2:$B$63,2,0)</f>
        <v>SERVIÇOS DE TI</v>
      </c>
      <c r="C121" s="555" t="str">
        <f>VLOOKUP(A121,'2-Inventário de Necessidades'!$A$2:$C$63,3,0)</f>
        <v>Ajustar sistemas internos às necessidades do usuários.</v>
      </c>
      <c r="D121" s="556" t="s">
        <v>1135</v>
      </c>
      <c r="E121" s="557" t="s">
        <v>1136</v>
      </c>
      <c r="F121" s="558" t="s">
        <v>380</v>
      </c>
      <c r="G121" s="559"/>
      <c r="H121" s="547"/>
      <c r="I121" s="548">
        <f>VLOOKUP($D121,'REVISÃO 2017-1 - PRIORIZAÇÃO'!$D$2:$O$95,11,0)</f>
        <v>42856</v>
      </c>
      <c r="J121" s="548">
        <f>VLOOKUP($D121,'REVISÃO 2017-1 - PRIORIZAÇÃO'!$D$2:$O$95,12,0)</f>
        <v>43070</v>
      </c>
      <c r="K121" s="548">
        <v>42767</v>
      </c>
      <c r="L121" s="548"/>
      <c r="M121" s="549" t="str">
        <f t="shared" ca="1" si="13"/>
        <v>11 meses</v>
      </c>
      <c r="N121" s="559" t="s">
        <v>841</v>
      </c>
      <c r="O121" s="550">
        <f>IF(ISERROR(VLOOKUP(D121,'4-Investimento-Custeio'!$B$3:$I$39,8,0))=TRUE, 0, VLOOKUP(D121,'4-Investimento-Custeio'!$B$3:$I$39,8,0))</f>
        <v>0</v>
      </c>
      <c r="P121" s="551">
        <v>0</v>
      </c>
      <c r="Q121" s="552" t="str">
        <f t="shared" si="14"/>
        <v>Em andamento</v>
      </c>
      <c r="R121" s="559">
        <f t="shared" si="15"/>
        <v>0</v>
      </c>
      <c r="S121" s="552" t="s">
        <v>1168</v>
      </c>
      <c r="T121" s="275">
        <v>153</v>
      </c>
      <c r="U121" s="218" t="s">
        <v>1180</v>
      </c>
    </row>
    <row r="122" spans="1:21" ht="50.1" customHeight="1" x14ac:dyDescent="0.2">
      <c r="A122" s="554" t="str">
        <f>SUBSTITUTE(LEFT(D122,3),"A", "NC")</f>
        <v>NC56</v>
      </c>
      <c r="B122" s="555" t="str">
        <f>VLOOKUP(A122,'2-Inventário de Necessidades'!$A$2:$B$63,2,0)</f>
        <v>SERVIÇOS DE TI</v>
      </c>
      <c r="C122" s="555" t="str">
        <f>VLOOKUP(A122,'2-Inventário de Necessidades'!$A$2:$C$63,3,0)</f>
        <v>Ajustar sistemas internos às necessidades do usuários.</v>
      </c>
      <c r="D122" s="556" t="s">
        <v>1137</v>
      </c>
      <c r="E122" s="557" t="s">
        <v>1138</v>
      </c>
      <c r="F122" s="558" t="s">
        <v>380</v>
      </c>
      <c r="G122" s="559"/>
      <c r="H122" s="547"/>
      <c r="I122" s="548">
        <f>VLOOKUP($D122,'REVISÃO 2017-1 - PRIORIZAÇÃO'!$D$2:$O$95,11,0)</f>
        <v>43160</v>
      </c>
      <c r="J122" s="548">
        <f>VLOOKUP($D122,'REVISÃO 2017-1 - PRIORIZAÇÃO'!$D$2:$O$95,12,0)</f>
        <v>43282</v>
      </c>
      <c r="K122" s="548">
        <v>42917</v>
      </c>
      <c r="L122" s="548"/>
      <c r="M122" s="549" t="str">
        <f t="shared" ca="1" si="13"/>
        <v>6 meses</v>
      </c>
      <c r="N122" s="559" t="s">
        <v>841</v>
      </c>
      <c r="O122" s="550">
        <f>IF(ISERROR(VLOOKUP(D122,'4-Investimento-Custeio'!$B$3:$I$39,8,0))=TRUE, 0, VLOOKUP(D122,'4-Investimento-Custeio'!$B$3:$I$39,8,0))</f>
        <v>0</v>
      </c>
      <c r="P122" s="551">
        <v>0</v>
      </c>
      <c r="Q122" s="552" t="str">
        <f t="shared" si="14"/>
        <v>Em andamento</v>
      </c>
      <c r="R122" s="559">
        <f t="shared" si="15"/>
        <v>0</v>
      </c>
      <c r="S122" s="552" t="s">
        <v>1168</v>
      </c>
      <c r="T122" s="275">
        <v>154</v>
      </c>
      <c r="U122" s="218" t="s">
        <v>1180</v>
      </c>
    </row>
    <row r="123" spans="1:21" ht="50.1" customHeight="1" x14ac:dyDescent="0.2">
      <c r="A123" s="554" t="str">
        <f>SUBSTITUTE(LEFT(D123,3),"A", "NC")</f>
        <v>NC60</v>
      </c>
      <c r="B123" s="555" t="str">
        <f>VLOOKUP(A123,'2-Inventário de Necessidades'!$A$2:$B$63,2,0)</f>
        <v>SISTEMAS DE INFORMAÇÃO</v>
      </c>
      <c r="C123" s="555" t="str">
        <f>VLOOKUP(A123,'2-Inventário de Necessidades'!$A$2:$C$63,3,0)</f>
        <v>Aprimoramento de serviços para atender quesitos de transparência propostos pela ENCCLA, bem como o cumprimento integral da LAI estadual e federal</v>
      </c>
      <c r="D123" s="556" t="s">
        <v>1139</v>
      </c>
      <c r="E123" s="557" t="s">
        <v>1140</v>
      </c>
      <c r="F123" s="558" t="s">
        <v>380</v>
      </c>
      <c r="G123" s="559">
        <v>3</v>
      </c>
      <c r="H123" s="547" t="str">
        <f t="shared" ref="H123:H136" si="18">IF(
 ROUNDUP(SUM((J123-I123)/30),0)&gt;0,
 CONCATENATE(ROUNDUP(SUM((J123-I123)/30),0)," meses"),
  IF((G123*3)&lt;5,
  CONCATENATE(((G123*3)-1)," a ",G123*3," meses"),
   IF((G123*3)&gt;11,
   CONCATENATE("Superior a ", SUM((G123*3)/12)," ano(s)"),
   CONCATENATE(((G123*3)-1)," a ",G123*3," meses")
   )
  )
 )</f>
        <v>7 meses</v>
      </c>
      <c r="I123" s="548">
        <f>VLOOKUP($D123,'REVISÃO 2017-1 - PRIORIZAÇÃO'!$D$2:$O$95,11,0)</f>
        <v>42979</v>
      </c>
      <c r="J123" s="548">
        <f>VLOOKUP($D123,'REVISÃO 2017-1 - PRIORIZAÇÃO'!$D$2:$O$95,12,0)</f>
        <v>43160</v>
      </c>
      <c r="K123" s="548">
        <v>42887</v>
      </c>
      <c r="L123" s="548"/>
      <c r="M123" s="549" t="str">
        <f t="shared" ca="1" si="13"/>
        <v>7 meses</v>
      </c>
      <c r="N123" s="559" t="s">
        <v>841</v>
      </c>
      <c r="O123" s="550">
        <f>IF(ISERROR(VLOOKUP(D123,'4-Investimento-Custeio'!$B$3:$I$39,8,0))=TRUE, 0, VLOOKUP(D123,'4-Investimento-Custeio'!$B$3:$I$39,8,0))</f>
        <v>0</v>
      </c>
      <c r="P123" s="551">
        <v>0</v>
      </c>
      <c r="Q123" s="552" t="str">
        <f t="shared" si="14"/>
        <v>Em andamento</v>
      </c>
      <c r="R123" s="559">
        <f t="shared" si="15"/>
        <v>0</v>
      </c>
      <c r="S123" s="552" t="s">
        <v>1168</v>
      </c>
      <c r="T123" s="275">
        <v>165</v>
      </c>
      <c r="U123" s="218" t="s">
        <v>1180</v>
      </c>
    </row>
    <row r="124" spans="1:21" ht="50.1" customHeight="1" x14ac:dyDescent="0.2">
      <c r="A124" s="542" t="s">
        <v>60</v>
      </c>
      <c r="B124" s="543" t="str">
        <f>VLOOKUP(A124,'2-Inventário de Necessidades'!$A$2:$B$63,2,0)</f>
        <v>GOVERNANÇA E GESTÃO DE TI</v>
      </c>
      <c r="C124" s="543" t="str">
        <f>VLOOKUP(A124,'2-Inventário de Necessidades'!$A$2:$C$63,3,0)</f>
        <v>Implantação da governança de TI</v>
      </c>
      <c r="D124" s="544" t="s">
        <v>1076</v>
      </c>
      <c r="E124" s="545" t="s">
        <v>63</v>
      </c>
      <c r="F124" s="546" t="s">
        <v>220</v>
      </c>
      <c r="G124" s="547">
        <v>4</v>
      </c>
      <c r="H124" s="547" t="str">
        <f t="shared" si="18"/>
        <v>7 meses</v>
      </c>
      <c r="I124" s="548">
        <f>VLOOKUP($D124,'REVISÃO 2017-1 - PRIORIZAÇÃO'!$D$2:$O$95,11,0)</f>
        <v>43101</v>
      </c>
      <c r="J124" s="548">
        <f>VLOOKUP($D124,'REVISÃO 2017-1 - PRIORIZAÇÃO'!$D$2:$O$95,12,0)</f>
        <v>43282</v>
      </c>
      <c r="K124" s="548">
        <v>42705</v>
      </c>
      <c r="L124" s="548"/>
      <c r="M124" s="549" t="str">
        <f t="shared" ca="1" si="13"/>
        <v>13 meses</v>
      </c>
      <c r="N124" s="547" t="s">
        <v>295</v>
      </c>
      <c r="O124" s="550">
        <f>IF(ISERROR(VLOOKUP(D124,'4-Investimento-Custeio'!$B$3:$I$39,8,0))=TRUE, 0, VLOOKUP(D124,'4-Investimento-Custeio'!$B$3:$I$39,8,0))</f>
        <v>0</v>
      </c>
      <c r="P124" s="551">
        <v>0</v>
      </c>
      <c r="Q124" s="552" t="str">
        <f t="shared" si="14"/>
        <v>Em andamento</v>
      </c>
      <c r="R124" s="553">
        <f t="shared" si="15"/>
        <v>0</v>
      </c>
      <c r="S124" s="552" t="s">
        <v>1168</v>
      </c>
      <c r="T124" s="275">
        <v>47</v>
      </c>
      <c r="U124" s="218"/>
    </row>
    <row r="125" spans="1:21" ht="50.1" customHeight="1" x14ac:dyDescent="0.2">
      <c r="A125" s="542" t="s">
        <v>60</v>
      </c>
      <c r="B125" s="543" t="str">
        <f>VLOOKUP(A125,'2-Inventário de Necessidades'!$A$2:$B$63,2,0)</f>
        <v>GOVERNANÇA E GESTÃO DE TI</v>
      </c>
      <c r="C125" s="543" t="str">
        <f>VLOOKUP(A125,'2-Inventário de Necessidades'!$A$2:$C$63,3,0)</f>
        <v>Implantação da governança de TI</v>
      </c>
      <c r="D125" s="544" t="s">
        <v>1061</v>
      </c>
      <c r="E125" s="545" t="s">
        <v>64</v>
      </c>
      <c r="F125" s="546" t="s">
        <v>220</v>
      </c>
      <c r="G125" s="547">
        <v>4</v>
      </c>
      <c r="H125" s="547" t="str">
        <f t="shared" si="18"/>
        <v>5 meses</v>
      </c>
      <c r="I125" s="548">
        <f>VLOOKUP($D125,'REVISÃO 2017-1 - PRIORIZAÇÃO'!$D$2:$O$95,11,0)</f>
        <v>43313</v>
      </c>
      <c r="J125" s="548">
        <f>VLOOKUP($D125,'REVISÃO 2017-1 - PRIORIZAÇÃO'!$D$2:$O$95,12,0)</f>
        <v>43435</v>
      </c>
      <c r="K125" s="548">
        <v>42705</v>
      </c>
      <c r="L125" s="548"/>
      <c r="M125" s="549" t="str">
        <f t="shared" ca="1" si="13"/>
        <v>13 meses</v>
      </c>
      <c r="N125" s="547" t="s">
        <v>295</v>
      </c>
      <c r="O125" s="550">
        <f>IF(ISERROR(VLOOKUP(D125,'4-Investimento-Custeio'!$B$3:$I$39,8,0))=TRUE, 0, VLOOKUP(D125,'4-Investimento-Custeio'!$B$3:$I$39,8,0))</f>
        <v>0</v>
      </c>
      <c r="P125" s="551">
        <v>0</v>
      </c>
      <c r="Q125" s="552" t="str">
        <f t="shared" si="14"/>
        <v>Em andamento</v>
      </c>
      <c r="R125" s="553">
        <f t="shared" si="15"/>
        <v>0</v>
      </c>
      <c r="S125" s="552" t="s">
        <v>1168</v>
      </c>
      <c r="T125" s="275">
        <v>48</v>
      </c>
      <c r="U125" s="218"/>
    </row>
    <row r="126" spans="1:21" ht="50.1" customHeight="1" x14ac:dyDescent="0.2">
      <c r="A126" s="542" t="s">
        <v>124</v>
      </c>
      <c r="B126" s="543" t="str">
        <f>VLOOKUP(A126,'2-Inventário de Necessidades'!$A$2:$B$63,2,0)</f>
        <v>SISTEMAS DE INFORMAÇÃO</v>
      </c>
      <c r="C126" s="543" t="str">
        <f>VLOOKUP(A126,'2-Inventário de Necessidades'!$A$2:$C$63,3,0)</f>
        <v>Viabilizar solução de gestão documental e arquivística</v>
      </c>
      <c r="D126" s="544" t="s">
        <v>1024</v>
      </c>
      <c r="E126" s="545" t="s">
        <v>126</v>
      </c>
      <c r="F126" s="546" t="s">
        <v>380</v>
      </c>
      <c r="G126" s="547">
        <v>2</v>
      </c>
      <c r="H126" s="547" t="str">
        <f t="shared" si="18"/>
        <v>9 meses</v>
      </c>
      <c r="I126" s="548">
        <f>VLOOKUP($D126,'REVISÃO 2017-1 - PRIORIZAÇÃO'!$D$2:$O$95,11,0)</f>
        <v>42887</v>
      </c>
      <c r="J126" s="548">
        <f>VLOOKUP($D126,'REVISÃO 2017-1 - PRIORIZAÇÃO'!$D$2:$O$95,12,0)</f>
        <v>43132</v>
      </c>
      <c r="K126" s="548">
        <v>42795</v>
      </c>
      <c r="L126" s="548"/>
      <c r="M126" s="549" t="str">
        <f t="shared" ca="1" si="13"/>
        <v>10 meses</v>
      </c>
      <c r="N126" s="547" t="s">
        <v>841</v>
      </c>
      <c r="O126" s="550">
        <f>IF(ISERROR(VLOOKUP(D126,'4-Investimento-Custeio'!$B$3:$I$39,8,0))=TRUE, 0, VLOOKUP(D126,'4-Investimento-Custeio'!$B$3:$I$39,8,0))</f>
        <v>0</v>
      </c>
      <c r="P126" s="551">
        <v>0</v>
      </c>
      <c r="Q126" s="552" t="str">
        <f t="shared" si="14"/>
        <v>Em andamento</v>
      </c>
      <c r="R126" s="553">
        <f t="shared" si="15"/>
        <v>0</v>
      </c>
      <c r="S126" s="552" t="s">
        <v>1168</v>
      </c>
      <c r="T126" s="275">
        <v>97</v>
      </c>
      <c r="U126" s="218" t="s">
        <v>1180</v>
      </c>
    </row>
    <row r="127" spans="1:21" ht="50.1" customHeight="1" x14ac:dyDescent="0.2">
      <c r="A127" s="542" t="s">
        <v>183</v>
      </c>
      <c r="B127" s="560" t="str">
        <f>VLOOKUP(A127,'2-Inventário de Necessidades'!$A$2:$B$63,2,0)</f>
        <v>GOVERNANÇA E GESTÃO DE TI</v>
      </c>
      <c r="C127" s="560" t="str">
        <f>VLOOKUP(A127,'2-Inventário de Necessidades'!$A$2:$C$63,3,0)</f>
        <v>Implantação do Gerenciamento de Serviços de TI</v>
      </c>
      <c r="D127" s="544" t="s">
        <v>1084</v>
      </c>
      <c r="E127" s="546" t="s">
        <v>185</v>
      </c>
      <c r="F127" s="546" t="s">
        <v>220</v>
      </c>
      <c r="G127" s="547">
        <v>4</v>
      </c>
      <c r="H127" s="547" t="str">
        <f t="shared" si="18"/>
        <v>7 meses</v>
      </c>
      <c r="I127" s="548">
        <f>VLOOKUP($D127,'REVISÃO 2017-1 - PRIORIZAÇÃO'!$D$2:$O$95,11,0)</f>
        <v>43101</v>
      </c>
      <c r="J127" s="548">
        <f>VLOOKUP($D127,'REVISÃO 2017-1 - PRIORIZAÇÃO'!$D$2:$O$95,12,0)</f>
        <v>43282</v>
      </c>
      <c r="K127" s="548">
        <v>42705</v>
      </c>
      <c r="L127" s="546"/>
      <c r="M127" s="549" t="str">
        <f t="shared" ca="1" si="13"/>
        <v>13 meses</v>
      </c>
      <c r="N127" s="547" t="s">
        <v>295</v>
      </c>
      <c r="O127" s="550">
        <f>IF(ISERROR(VLOOKUP(D127,'4-Investimento-Custeio'!$B$3:$I$39,8,0))=TRUE, 0, VLOOKUP(D127,'4-Investimento-Custeio'!$B$3:$I$39,8,0))</f>
        <v>0</v>
      </c>
      <c r="P127" s="551">
        <v>0</v>
      </c>
      <c r="Q127" s="552" t="str">
        <f t="shared" si="14"/>
        <v>Em andamento</v>
      </c>
      <c r="R127" s="553">
        <f t="shared" si="15"/>
        <v>0</v>
      </c>
      <c r="S127" s="552" t="s">
        <v>1168</v>
      </c>
      <c r="T127" s="275">
        <v>127</v>
      </c>
      <c r="U127" s="218"/>
    </row>
    <row r="128" spans="1:21" ht="50.1" customHeight="1" x14ac:dyDescent="0.2">
      <c r="A128" s="542" t="s">
        <v>183</v>
      </c>
      <c r="B128" s="560" t="str">
        <f>VLOOKUP(A128,'2-Inventário de Necessidades'!$A$2:$B$63,2,0)</f>
        <v>GOVERNANÇA E GESTÃO DE TI</v>
      </c>
      <c r="C128" s="560" t="str">
        <f>VLOOKUP(A128,'2-Inventário de Necessidades'!$A$2:$C$63,3,0)</f>
        <v>Implantação do Gerenciamento de Serviços de TI</v>
      </c>
      <c r="D128" s="544" t="s">
        <v>1067</v>
      </c>
      <c r="E128" s="546" t="s">
        <v>186</v>
      </c>
      <c r="F128" s="546" t="s">
        <v>220</v>
      </c>
      <c r="G128" s="547">
        <v>4</v>
      </c>
      <c r="H128" s="547" t="str">
        <f t="shared" si="18"/>
        <v>5 meses</v>
      </c>
      <c r="I128" s="548">
        <f>VLOOKUP($D128,'REVISÃO 2017-1 - PRIORIZAÇÃO'!$D$2:$O$95,11,0)</f>
        <v>43313</v>
      </c>
      <c r="J128" s="548">
        <f>VLOOKUP($D128,'REVISÃO 2017-1 - PRIORIZAÇÃO'!$D$2:$O$95,12,0)</f>
        <v>43435</v>
      </c>
      <c r="K128" s="548">
        <v>42522</v>
      </c>
      <c r="L128" s="546"/>
      <c r="M128" s="549" t="str">
        <f t="shared" ca="1" si="13"/>
        <v>19 meses</v>
      </c>
      <c r="N128" s="547" t="s">
        <v>295</v>
      </c>
      <c r="O128" s="550">
        <f>IF(ISERROR(VLOOKUP(D128,'4-Investimento-Custeio'!$B$3:$I$39,8,0))=TRUE, 0, VLOOKUP(D128,'4-Investimento-Custeio'!$B$3:$I$39,8,0))</f>
        <v>0</v>
      </c>
      <c r="P128" s="551">
        <v>0</v>
      </c>
      <c r="Q128" s="552" t="str">
        <f t="shared" si="14"/>
        <v>Em andamento</v>
      </c>
      <c r="R128" s="553">
        <f t="shared" si="15"/>
        <v>0</v>
      </c>
      <c r="S128" s="552" t="s">
        <v>1168</v>
      </c>
      <c r="T128" s="275">
        <v>128</v>
      </c>
      <c r="U128" s="218"/>
    </row>
    <row r="129" spans="1:21" ht="50.1" customHeight="1" x14ac:dyDescent="0.2">
      <c r="A129" s="542" t="s">
        <v>108</v>
      </c>
      <c r="B129" s="543" t="str">
        <f>VLOOKUP(A129,'2-Inventário de Necessidades'!$A$2:$B$63,2,0)</f>
        <v>SISTEMAS DE INFORMAÇÃO</v>
      </c>
      <c r="C129" s="543" t="str">
        <f>VLOOKUP(A129,'2-Inventário de Necessidades'!$A$2:$C$63,3,0)</f>
        <v>Viabilização de divulgação na internet de ações e atividades de controle externo</v>
      </c>
      <c r="D129" s="544" t="s">
        <v>1011</v>
      </c>
      <c r="E129" s="561" t="s">
        <v>110</v>
      </c>
      <c r="F129" s="546" t="s">
        <v>380</v>
      </c>
      <c r="G129" s="547">
        <v>2</v>
      </c>
      <c r="H129" s="547" t="str">
        <f t="shared" si="18"/>
        <v>8 meses</v>
      </c>
      <c r="I129" s="548">
        <f>VLOOKUP($D129,'REVISÃO 2017-1 - PRIORIZAÇÃO'!$D$2:$O$95,11,0)</f>
        <v>42948</v>
      </c>
      <c r="J129" s="548">
        <v>43160</v>
      </c>
      <c r="K129" s="548">
        <v>42887</v>
      </c>
      <c r="L129" s="548"/>
      <c r="M129" s="549" t="str">
        <f t="shared" ca="1" si="13"/>
        <v>7 meses</v>
      </c>
      <c r="N129" s="547" t="s">
        <v>841</v>
      </c>
      <c r="O129" s="550">
        <f>IF(ISERROR(VLOOKUP(D129,'4-Investimento-Custeio'!$B$3:$I$39,8,0))=TRUE, 0, VLOOKUP(D129,'4-Investimento-Custeio'!$B$3:$I$39,8,0))</f>
        <v>0</v>
      </c>
      <c r="P129" s="551">
        <v>0</v>
      </c>
      <c r="Q129" s="552" t="str">
        <f t="shared" si="14"/>
        <v>Em andamento</v>
      </c>
      <c r="R129" s="553">
        <f t="shared" si="15"/>
        <v>0</v>
      </c>
      <c r="S129" s="552" t="s">
        <v>1168</v>
      </c>
      <c r="T129" s="275">
        <v>85</v>
      </c>
      <c r="U129" s="218"/>
    </row>
    <row r="130" spans="1:21" ht="50.1" customHeight="1" x14ac:dyDescent="0.2">
      <c r="A130" s="542" t="s">
        <v>111</v>
      </c>
      <c r="B130" s="543" t="str">
        <f>VLOOKUP(A130,'2-Inventário de Necessidades'!$A$2:$B$63,2,0)</f>
        <v>SISTEMAS DE INFORMAÇÃO</v>
      </c>
      <c r="C130" s="543" t="str">
        <f>VLOOKUP(A130,'2-Inventário de Necessidades'!$A$2:$C$63,3,0)</f>
        <v>Modernização dos sistemas corporativos com foco em acessibilidade</v>
      </c>
      <c r="D130" s="544" t="s">
        <v>1087</v>
      </c>
      <c r="E130" s="561" t="s">
        <v>113</v>
      </c>
      <c r="F130" s="546" t="s">
        <v>380</v>
      </c>
      <c r="G130" s="547">
        <v>2</v>
      </c>
      <c r="H130" s="547" t="str">
        <f t="shared" si="18"/>
        <v>4 meses</v>
      </c>
      <c r="I130" s="548">
        <f>VLOOKUP($D130,'REVISÃO 2017-1 - PRIORIZAÇÃO'!$D$2:$O$95,11,0)</f>
        <v>43101</v>
      </c>
      <c r="J130" s="548">
        <f>VLOOKUP($D130,'REVISÃO 2017-1 - PRIORIZAÇÃO'!$D$2:$O$95,12,0)</f>
        <v>43221</v>
      </c>
      <c r="K130" s="548">
        <v>42887</v>
      </c>
      <c r="L130" s="548"/>
      <c r="M130" s="549" t="str">
        <f t="shared" ca="1" si="13"/>
        <v>7 meses</v>
      </c>
      <c r="N130" s="547" t="s">
        <v>841</v>
      </c>
      <c r="O130" s="550">
        <f>IF(ISERROR(VLOOKUP(D130,'4-Investimento-Custeio'!$B$3:$I$39,8,0))=TRUE, 0, VLOOKUP(D130,'4-Investimento-Custeio'!$B$3:$I$39,8,0))</f>
        <v>0</v>
      </c>
      <c r="P130" s="551">
        <v>0</v>
      </c>
      <c r="Q130" s="552" t="str">
        <f t="shared" si="14"/>
        <v>Em andamento</v>
      </c>
      <c r="R130" s="553">
        <f t="shared" si="15"/>
        <v>0</v>
      </c>
      <c r="S130" s="552" t="s">
        <v>1168</v>
      </c>
      <c r="T130" s="275">
        <v>86</v>
      </c>
      <c r="U130" s="218"/>
    </row>
    <row r="131" spans="1:21" ht="50.1" customHeight="1" x14ac:dyDescent="0.2">
      <c r="A131" s="542" t="s">
        <v>142</v>
      </c>
      <c r="B131" s="543" t="str">
        <f>VLOOKUP(A131,'2-Inventário de Necessidades'!$A$2:$B$63,2,0)</f>
        <v>SISTEMAS DE INFORMAÇÃO</v>
      </c>
      <c r="C131" s="543" t="str">
        <f>VLOOKUP(A131,'2-Inventário de Necessidades'!$A$2:$C$63,3,0)</f>
        <v>Viabilização de divulgação na internet de ações, atividades e normas internas de gestão documental</v>
      </c>
      <c r="D131" s="544" t="s">
        <v>1009</v>
      </c>
      <c r="E131" s="561" t="s">
        <v>144</v>
      </c>
      <c r="F131" s="546" t="s">
        <v>380</v>
      </c>
      <c r="G131" s="547">
        <v>2</v>
      </c>
      <c r="H131" s="547" t="str">
        <f t="shared" si="18"/>
        <v>12 meses</v>
      </c>
      <c r="I131" s="548">
        <f>VLOOKUP($D131,'REVISÃO 2017-1 - PRIORIZAÇÃO'!$D$2:$O$95,11,0)</f>
        <v>43101</v>
      </c>
      <c r="J131" s="548">
        <f>VLOOKUP($D131,'REVISÃO 2017-1 - PRIORIZAÇÃO'!$D$2:$O$95,12,0)</f>
        <v>43435</v>
      </c>
      <c r="K131" s="548">
        <v>42887</v>
      </c>
      <c r="L131" s="548"/>
      <c r="M131" s="549" t="str">
        <f t="shared" ref="M131:M162" ca="1" si="19">IF(K131="", "-",CONCATENATE(ROUNDUP(SUM(((IF(L131="",TODAY(),L131))-K131)/30),0)," meses"))</f>
        <v>7 meses</v>
      </c>
      <c r="N131" s="547" t="s">
        <v>841</v>
      </c>
      <c r="O131" s="550">
        <f>IF(ISERROR(VLOOKUP(D131,'4-Investimento-Custeio'!$B$3:$I$39,8,0))=TRUE, 0, VLOOKUP(D131,'4-Investimento-Custeio'!$B$3:$I$39,8,0))</f>
        <v>0</v>
      </c>
      <c r="P131" s="551">
        <v>0</v>
      </c>
      <c r="Q131" s="552" t="str">
        <f t="shared" ref="Q131:Q162" si="20">IF(K131="","Não Iniciado",IF(L131="","Em andamento","Concluído"))</f>
        <v>Em andamento</v>
      </c>
      <c r="R131" s="553">
        <f t="shared" ref="R131:R162" si="21">IF(L131="",0,1)</f>
        <v>0</v>
      </c>
      <c r="S131" s="552" t="s">
        <v>1168</v>
      </c>
      <c r="T131" s="275">
        <v>106</v>
      </c>
      <c r="U131" s="218"/>
    </row>
    <row r="132" spans="1:21" ht="50.1" customHeight="1" x14ac:dyDescent="0.2">
      <c r="A132" s="542" t="s">
        <v>167</v>
      </c>
      <c r="B132" s="543" t="str">
        <f>VLOOKUP(A132,'2-Inventário de Necessidades'!$A$2:$B$63,2,0)</f>
        <v>SERVIÇOS DE TI</v>
      </c>
      <c r="C132" s="543" t="str">
        <f>VLOOKUP(A132,'2-Inventário de Necessidades'!$A$2:$C$63,3,0)</f>
        <v>Viabilização de utilização de soluções de armazenamento em nuvem</v>
      </c>
      <c r="D132" s="544" t="s">
        <v>979</v>
      </c>
      <c r="E132" s="545" t="s">
        <v>169</v>
      </c>
      <c r="F132" s="546" t="s">
        <v>825</v>
      </c>
      <c r="G132" s="547">
        <v>2</v>
      </c>
      <c r="H132" s="547" t="str">
        <f t="shared" si="18"/>
        <v>20 meses</v>
      </c>
      <c r="I132" s="548">
        <f>VLOOKUP($D132,'REVISÃO 2017-1 - PRIORIZAÇÃO'!$D$2:$O$95,11,0)</f>
        <v>42856</v>
      </c>
      <c r="J132" s="548">
        <v>43435</v>
      </c>
      <c r="K132" s="548">
        <v>42826</v>
      </c>
      <c r="L132" s="548"/>
      <c r="M132" s="549" t="str">
        <f t="shared" ca="1" si="19"/>
        <v>9 meses</v>
      </c>
      <c r="N132" s="547" t="s">
        <v>295</v>
      </c>
      <c r="O132" s="550">
        <f>IF(ISERROR(VLOOKUP(D132,'4-Investimento-Custeio'!$B$3:$I$39,8,0))=TRUE, 0, VLOOKUP(D132,'4-Investimento-Custeio'!$B$3:$I$39,8,0))</f>
        <v>0</v>
      </c>
      <c r="P132" s="551">
        <v>0</v>
      </c>
      <c r="Q132" s="552" t="str">
        <f t="shared" si="20"/>
        <v>Em andamento</v>
      </c>
      <c r="R132" s="553">
        <f t="shared" si="21"/>
        <v>0</v>
      </c>
      <c r="S132" s="552" t="s">
        <v>1168</v>
      </c>
      <c r="T132" s="275">
        <v>118</v>
      </c>
      <c r="U132" s="218"/>
    </row>
    <row r="133" spans="1:21" ht="50.1" customHeight="1" x14ac:dyDescent="0.2">
      <c r="A133" s="542" t="s">
        <v>192</v>
      </c>
      <c r="B133" s="543" t="str">
        <f>VLOOKUP(A133,'2-Inventário de Necessidades'!$A$2:$B$63,2,0)</f>
        <v>SISTEMAS DE INFORMAÇÃO</v>
      </c>
      <c r="C133" s="543" t="str">
        <f>VLOOKUP(A133,'2-Inventário de Necessidades'!$A$2:$C$63,3,0)</f>
        <v>Desenvolvimento de solução de portal corporativo e ferramentas de colaboração e de socialização</v>
      </c>
      <c r="D133" s="544" t="s">
        <v>193</v>
      </c>
      <c r="E133" s="561" t="s">
        <v>194</v>
      </c>
      <c r="F133" s="546" t="s">
        <v>380</v>
      </c>
      <c r="G133" s="547">
        <v>2</v>
      </c>
      <c r="H133" s="547" t="str">
        <f t="shared" si="18"/>
        <v>12 meses</v>
      </c>
      <c r="I133" s="548">
        <f>VLOOKUP($D133,'REVISÃO 2017-1 - PRIORIZAÇÃO'!$D$2:$O$95,11,0)</f>
        <v>43101</v>
      </c>
      <c r="J133" s="548">
        <f>VLOOKUP($D133,'REVISÃO 2017-1 - PRIORIZAÇÃO'!$D$2:$O$95,12,0)</f>
        <v>43435</v>
      </c>
      <c r="K133" s="548">
        <v>42887</v>
      </c>
      <c r="L133" s="548"/>
      <c r="M133" s="549" t="str">
        <f t="shared" ca="1" si="19"/>
        <v>7 meses</v>
      </c>
      <c r="N133" s="547" t="s">
        <v>296</v>
      </c>
      <c r="O133" s="550">
        <f>IF(ISERROR(VLOOKUP(D133,'4-Investimento-Custeio'!$B$3:$I$39,8,0))=TRUE, 0, VLOOKUP(D133,'4-Investimento-Custeio'!$B$3:$I$39,8,0))</f>
        <v>230000</v>
      </c>
      <c r="P133" s="551">
        <v>0</v>
      </c>
      <c r="Q133" s="552" t="str">
        <f t="shared" si="20"/>
        <v>Em andamento</v>
      </c>
      <c r="R133" s="553">
        <f t="shared" si="21"/>
        <v>0</v>
      </c>
      <c r="S133" s="552" t="s">
        <v>1168</v>
      </c>
      <c r="T133" s="275">
        <v>132</v>
      </c>
      <c r="U133" s="218"/>
    </row>
    <row r="134" spans="1:21" ht="50.1" customHeight="1" x14ac:dyDescent="0.2">
      <c r="A134" s="314" t="s">
        <v>25</v>
      </c>
      <c r="B134" s="344" t="str">
        <f>VLOOKUP(A134,'2-Inventário de Necessidades'!$A$2:$B$63,2,0)</f>
        <v>SISTEMAS DE INFORMAÇÃO</v>
      </c>
      <c r="C134" s="344" t="str">
        <f>VLOOKUP(A134,'2-Inventário de Necessidades'!$A$2:$C$63,3,0)</f>
        <v>Desenvolvimento de solução para gerenciamento de informações sobre gestores com contas julgadas irregulares</v>
      </c>
      <c r="D134" s="415" t="s">
        <v>1027</v>
      </c>
      <c r="E134" s="416" t="s">
        <v>27</v>
      </c>
      <c r="F134" s="417" t="s">
        <v>380</v>
      </c>
      <c r="G134" s="418">
        <v>2</v>
      </c>
      <c r="H134" s="419" t="str">
        <f t="shared" si="18"/>
        <v>4 meses</v>
      </c>
      <c r="I134" s="267">
        <f>VLOOKUP($D134,'REVISÃO 2017-1 - PRIORIZAÇÃO'!$D$2:$O$95,11,0)</f>
        <v>43313</v>
      </c>
      <c r="J134" s="267">
        <f>VLOOKUP($D134,'REVISÃO 2017-1 - PRIORIZAÇÃO'!$D$2:$O$95,12,0)</f>
        <v>43405</v>
      </c>
      <c r="K134" s="267"/>
      <c r="L134" s="267"/>
      <c r="M134" s="453" t="str">
        <f t="shared" ca="1" si="19"/>
        <v>-</v>
      </c>
      <c r="N134" s="418" t="s">
        <v>841</v>
      </c>
      <c r="O134" s="445">
        <f>IF(ISERROR(VLOOKUP(D134,'4-Investimento-Custeio'!$B$3:$I$39,8,0))=TRUE, 0, VLOOKUP(D134,'4-Investimento-Custeio'!$B$3:$I$39,8,0))</f>
        <v>0</v>
      </c>
      <c r="P134" s="319">
        <v>0</v>
      </c>
      <c r="Q134" s="418" t="str">
        <f t="shared" si="20"/>
        <v>Não Iniciado</v>
      </c>
      <c r="R134" s="418">
        <f t="shared" si="21"/>
        <v>0</v>
      </c>
      <c r="S134" s="153" t="s">
        <v>1393</v>
      </c>
      <c r="T134" s="275">
        <v>13</v>
      </c>
      <c r="U134" s="218"/>
    </row>
    <row r="135" spans="1:21" ht="50.1" customHeight="1" x14ac:dyDescent="0.2">
      <c r="A135" s="314" t="s">
        <v>83</v>
      </c>
      <c r="B135" s="344" t="str">
        <f>VLOOKUP(A135,'2-Inventário de Necessidades'!$A$2:$B$63,2,0)</f>
        <v>GOVERNANÇA E GESTÃO DE TI</v>
      </c>
      <c r="C135" s="344" t="str">
        <f>VLOOKUP(A135,'2-Inventário de Necessidades'!$A$2:$C$63,3,0)</f>
        <v>Implantação da Gestão de Segurança da Informação</v>
      </c>
      <c r="D135" s="415" t="s">
        <v>1081</v>
      </c>
      <c r="E135" s="416" t="s">
        <v>89</v>
      </c>
      <c r="F135" s="417" t="s">
        <v>220</v>
      </c>
      <c r="G135" s="418">
        <f>24/3</f>
        <v>8</v>
      </c>
      <c r="H135" s="419" t="str">
        <f t="shared" si="18"/>
        <v>13 meses</v>
      </c>
      <c r="I135" s="267">
        <f>VLOOKUP($D135,'REVISÃO 2017-1 - PRIORIZAÇÃO'!$D$2:$O$95,11,0)</f>
        <v>42948</v>
      </c>
      <c r="J135" s="267">
        <f>VLOOKUP($D135,'REVISÃO 2017-1 - PRIORIZAÇÃO'!$D$2:$O$95,12,0)</f>
        <v>43313</v>
      </c>
      <c r="K135" s="267"/>
      <c r="L135" s="267"/>
      <c r="M135" s="453" t="str">
        <f t="shared" ca="1" si="19"/>
        <v>-</v>
      </c>
      <c r="N135" s="418" t="s">
        <v>295</v>
      </c>
      <c r="O135" s="445">
        <f>IF(ISERROR(VLOOKUP(D135,'4-Investimento-Custeio'!$B$3:$I$39,8,0))=TRUE, 0, VLOOKUP(D135,'4-Investimento-Custeio'!$B$3:$I$39,8,0))</f>
        <v>0</v>
      </c>
      <c r="P135" s="319">
        <v>0</v>
      </c>
      <c r="Q135" s="418" t="str">
        <f t="shared" si="20"/>
        <v>Não Iniciado</v>
      </c>
      <c r="R135" s="418">
        <f t="shared" si="21"/>
        <v>0</v>
      </c>
      <c r="S135" s="153" t="s">
        <v>1393</v>
      </c>
      <c r="T135" s="275">
        <v>65</v>
      </c>
      <c r="U135" s="218"/>
    </row>
    <row r="136" spans="1:21" ht="50.1" customHeight="1" x14ac:dyDescent="0.2">
      <c r="A136" s="314" t="s">
        <v>114</v>
      </c>
      <c r="B136" s="344" t="str">
        <f>VLOOKUP(A136,'2-Inventário de Necessidades'!$A$2:$B$63,2,0)</f>
        <v>SISTEMAS DE INFORMAÇÃO</v>
      </c>
      <c r="C136" s="344" t="str">
        <f>VLOOKUP(A136,'2-Inventário de Necessidades'!$A$2:$C$63,3,0)</f>
        <v>Conclusão da regulamentação e implantação do sistema de auditoria de folha de pagamento - GAFP</v>
      </c>
      <c r="D136" s="415" t="s">
        <v>1080</v>
      </c>
      <c r="E136" s="416" t="s">
        <v>116</v>
      </c>
      <c r="F136" s="417" t="s">
        <v>376</v>
      </c>
      <c r="G136" s="418">
        <v>2</v>
      </c>
      <c r="H136" s="419" t="str">
        <f t="shared" si="18"/>
        <v>5 meses</v>
      </c>
      <c r="I136" s="267">
        <f>VLOOKUP($D136,'REVISÃO 2017-1 - PRIORIZAÇÃO'!$D$2:$O$95,11,0)</f>
        <v>43313</v>
      </c>
      <c r="J136" s="267">
        <f>VLOOKUP($D136,'REVISÃO 2017-1 - PRIORIZAÇÃO'!$D$2:$O$95,12,0)</f>
        <v>43435</v>
      </c>
      <c r="K136" s="267"/>
      <c r="L136" s="267"/>
      <c r="M136" s="453" t="str">
        <f t="shared" ca="1" si="19"/>
        <v>-</v>
      </c>
      <c r="N136" s="418" t="s">
        <v>841</v>
      </c>
      <c r="O136" s="445">
        <f>IF(ISERROR(VLOOKUP(D136,'4-Investimento-Custeio'!$B$3:$I$39,8,0))=TRUE, 0, VLOOKUP(D136,'4-Investimento-Custeio'!$B$3:$I$39,8,0))</f>
        <v>0</v>
      </c>
      <c r="P136" s="319">
        <v>0</v>
      </c>
      <c r="Q136" s="418" t="str">
        <f t="shared" si="20"/>
        <v>Não Iniciado</v>
      </c>
      <c r="R136" s="418">
        <f t="shared" si="21"/>
        <v>0</v>
      </c>
      <c r="S136" s="153" t="s">
        <v>1393</v>
      </c>
      <c r="T136" s="275">
        <v>87</v>
      </c>
      <c r="U136" s="218"/>
    </row>
    <row r="137" spans="1:21" ht="50.1" customHeight="1" x14ac:dyDescent="0.2">
      <c r="A137" s="554" t="str">
        <f t="shared" ref="A137:A145" si="22">SUBSTITUTE(LEFT(D137,3),"A", "NC")</f>
        <v>NC31</v>
      </c>
      <c r="B137" s="555" t="str">
        <f>VLOOKUP(A137,'2-Inventário de Necessidades'!$A$2:$B$63,2,0)</f>
        <v>SISTEMAS DE INFORMAÇÃO</v>
      </c>
      <c r="C137" s="555" t="str">
        <f>VLOOKUP(A137,'2-Inventário de Necessidades'!$A$2:$C$63,3,0)</f>
        <v>Aprimoramento dos serviços do portal institucional do TCE-GO</v>
      </c>
      <c r="D137" s="556" t="s">
        <v>1125</v>
      </c>
      <c r="E137" s="557" t="s">
        <v>1126</v>
      </c>
      <c r="F137" s="558" t="s">
        <v>380</v>
      </c>
      <c r="G137" s="559"/>
      <c r="H137" s="547"/>
      <c r="I137" s="548">
        <f>VLOOKUP($D137,'REVISÃO 2017-1 - PRIORIZAÇÃO'!$D$2:$O$95,11,0)</f>
        <v>43313</v>
      </c>
      <c r="J137" s="548">
        <f>VLOOKUP($D137,'REVISÃO 2017-1 - PRIORIZAÇÃO'!$D$2:$O$95,12,0)</f>
        <v>43405</v>
      </c>
      <c r="K137" s="548">
        <v>42887</v>
      </c>
      <c r="L137" s="548"/>
      <c r="M137" s="549" t="str">
        <f t="shared" ca="1" si="19"/>
        <v>7 meses</v>
      </c>
      <c r="N137" s="559" t="s">
        <v>841</v>
      </c>
      <c r="O137" s="550">
        <f>IF(ISERROR(VLOOKUP(D137,'4-Investimento-Custeio'!$B$3:$I$39,8,0))=TRUE, 0, VLOOKUP(D137,'4-Investimento-Custeio'!$B$3:$I$39,8,0))</f>
        <v>0</v>
      </c>
      <c r="P137" s="551">
        <v>0</v>
      </c>
      <c r="Q137" s="552" t="str">
        <f t="shared" si="20"/>
        <v>Em andamento</v>
      </c>
      <c r="R137" s="559">
        <f t="shared" si="21"/>
        <v>0</v>
      </c>
      <c r="S137" s="559" t="s">
        <v>1171</v>
      </c>
      <c r="T137" s="275">
        <v>90</v>
      </c>
      <c r="U137" s="218" t="s">
        <v>1180</v>
      </c>
    </row>
    <row r="138" spans="1:21" ht="50.1" customHeight="1" x14ac:dyDescent="0.2">
      <c r="A138" s="554" t="str">
        <f t="shared" si="22"/>
        <v>NC31</v>
      </c>
      <c r="B138" s="555" t="str">
        <f>VLOOKUP(A138,'2-Inventário de Necessidades'!$A$2:$B$63,2,0)</f>
        <v>SISTEMAS DE INFORMAÇÃO</v>
      </c>
      <c r="C138" s="555" t="str">
        <f>VLOOKUP(A138,'2-Inventário de Necessidades'!$A$2:$C$63,3,0)</f>
        <v>Aprimoramento dos serviços do portal institucional do TCE-GO</v>
      </c>
      <c r="D138" s="556" t="s">
        <v>1127</v>
      </c>
      <c r="E138" s="557" t="s">
        <v>1128</v>
      </c>
      <c r="F138" s="558" t="s">
        <v>380</v>
      </c>
      <c r="G138" s="559"/>
      <c r="H138" s="547"/>
      <c r="I138" s="548">
        <f>VLOOKUP($D138,'REVISÃO 2017-1 - PRIORIZAÇÃO'!$D$2:$O$95,11,0)</f>
        <v>43313</v>
      </c>
      <c r="J138" s="548">
        <f>VLOOKUP($D138,'REVISÃO 2017-1 - PRIORIZAÇÃO'!$D$2:$O$95,12,0)</f>
        <v>43405</v>
      </c>
      <c r="K138" s="548">
        <v>42887</v>
      </c>
      <c r="L138" s="548"/>
      <c r="M138" s="549" t="str">
        <f t="shared" ca="1" si="19"/>
        <v>7 meses</v>
      </c>
      <c r="N138" s="559" t="s">
        <v>841</v>
      </c>
      <c r="O138" s="550">
        <f>IF(ISERROR(VLOOKUP(D138,'4-Investimento-Custeio'!$B$3:$I$39,8,0))=TRUE, 0, VLOOKUP(D138,'4-Investimento-Custeio'!$B$3:$I$39,8,0))</f>
        <v>0</v>
      </c>
      <c r="P138" s="551">
        <v>0</v>
      </c>
      <c r="Q138" s="552" t="str">
        <f t="shared" si="20"/>
        <v>Em andamento</v>
      </c>
      <c r="R138" s="559">
        <f t="shared" si="21"/>
        <v>0</v>
      </c>
      <c r="S138" s="559" t="s">
        <v>1171</v>
      </c>
      <c r="T138" s="275">
        <v>91</v>
      </c>
      <c r="U138" s="218" t="s">
        <v>1181</v>
      </c>
    </row>
    <row r="139" spans="1:21" ht="50.1" customHeight="1" x14ac:dyDescent="0.2">
      <c r="A139" s="413" t="str">
        <f t="shared" si="22"/>
        <v>NC26</v>
      </c>
      <c r="B139" s="414" t="str">
        <f>VLOOKUP(A139,'2-Inventário de Necessidades'!$A$2:$B$63,2,0)</f>
        <v>SISTEMAS DE INFORMAÇÃO</v>
      </c>
      <c r="C139" s="414" t="str">
        <f>VLOOKUP(A139,'2-Inventário de Necessidades'!$A$2:$C$63,3,0)</f>
        <v>Viabilizar a análise de dados e o cruzamento de informações.</v>
      </c>
      <c r="D139" s="415" t="s">
        <v>1120</v>
      </c>
      <c r="E139" s="416" t="s">
        <v>1177</v>
      </c>
      <c r="F139" s="417" t="s">
        <v>380</v>
      </c>
      <c r="G139" s="418"/>
      <c r="H139" s="419"/>
      <c r="I139" s="267">
        <f>VLOOKUP($D139,'REVISÃO 2017-1 - PRIORIZAÇÃO'!$D$2:$O$95,11,0)</f>
        <v>43009</v>
      </c>
      <c r="J139" s="267">
        <f>VLOOKUP($D139,'REVISÃO 2017-1 - PRIORIZAÇÃO'!$D$2:$O$95,12,0)</f>
        <v>43009</v>
      </c>
      <c r="K139" s="267"/>
      <c r="L139" s="267"/>
      <c r="M139" s="453" t="str">
        <f t="shared" ca="1" si="19"/>
        <v>-</v>
      </c>
      <c r="N139" s="418" t="s">
        <v>841</v>
      </c>
      <c r="O139" s="445">
        <f>IF(ISERROR(VLOOKUP(D139,'4-Investimento-Custeio'!$B$3:$I$39,8,0))=TRUE, 0, VLOOKUP(D139,'4-Investimento-Custeio'!$B$3:$I$39,8,0))</f>
        <v>0</v>
      </c>
      <c r="P139" s="319">
        <v>0</v>
      </c>
      <c r="Q139" s="418" t="str">
        <f t="shared" si="20"/>
        <v>Não Iniciado</v>
      </c>
      <c r="R139" s="418">
        <f t="shared" si="21"/>
        <v>0</v>
      </c>
      <c r="S139" s="153" t="s">
        <v>1171</v>
      </c>
      <c r="T139" s="275">
        <v>80</v>
      </c>
      <c r="U139" s="218" t="s">
        <v>1179</v>
      </c>
    </row>
    <row r="140" spans="1:21" ht="50.1" customHeight="1" x14ac:dyDescent="0.2">
      <c r="A140" s="413" t="str">
        <f t="shared" si="22"/>
        <v>NC26</v>
      </c>
      <c r="B140" s="414" t="str">
        <f>VLOOKUP(A140,'2-Inventário de Necessidades'!$A$2:$B$63,2,0)</f>
        <v>SISTEMAS DE INFORMAÇÃO</v>
      </c>
      <c r="C140" s="414" t="str">
        <f>VLOOKUP(A140,'2-Inventário de Necessidades'!$A$2:$C$63,3,0)</f>
        <v>Viabilizar a análise de dados e o cruzamento de informações.</v>
      </c>
      <c r="D140" s="415" t="s">
        <v>1123</v>
      </c>
      <c r="E140" s="416" t="s">
        <v>1178</v>
      </c>
      <c r="F140" s="417" t="s">
        <v>380</v>
      </c>
      <c r="G140" s="418"/>
      <c r="H140" s="419"/>
      <c r="I140" s="267">
        <f>VLOOKUP($D140,'REVISÃO 2017-1 - PRIORIZAÇÃO'!$D$2:$O$95,11,0)</f>
        <v>43009</v>
      </c>
      <c r="J140" s="267">
        <f>VLOOKUP($D140,'REVISÃO 2017-1 - PRIORIZAÇÃO'!$D$2:$O$95,12,0)</f>
        <v>43009</v>
      </c>
      <c r="K140" s="267"/>
      <c r="L140" s="267"/>
      <c r="M140" s="453" t="str">
        <f t="shared" ca="1" si="19"/>
        <v>-</v>
      </c>
      <c r="N140" s="418" t="s">
        <v>841</v>
      </c>
      <c r="O140" s="445">
        <f>IF(ISERROR(VLOOKUP(D140,'4-Investimento-Custeio'!$B$3:$I$39,8,0))=TRUE, 0, VLOOKUP(D140,'4-Investimento-Custeio'!$B$3:$I$39,8,0))</f>
        <v>0</v>
      </c>
      <c r="P140" s="319">
        <v>0</v>
      </c>
      <c r="Q140" s="418" t="str">
        <f t="shared" si="20"/>
        <v>Não Iniciado</v>
      </c>
      <c r="R140" s="418">
        <f t="shared" si="21"/>
        <v>0</v>
      </c>
      <c r="S140" s="153" t="s">
        <v>1171</v>
      </c>
      <c r="T140" s="275">
        <v>82</v>
      </c>
      <c r="U140" s="218" t="s">
        <v>1180</v>
      </c>
    </row>
    <row r="141" spans="1:21" ht="50.1" customHeight="1" x14ac:dyDescent="0.2">
      <c r="A141" s="413" t="str">
        <f t="shared" si="22"/>
        <v>NC26</v>
      </c>
      <c r="B141" s="414" t="str">
        <f>VLOOKUP(A141,'2-Inventário de Necessidades'!$A$2:$B$63,2,0)</f>
        <v>SISTEMAS DE INFORMAÇÃO</v>
      </c>
      <c r="C141" s="414" t="str">
        <f>VLOOKUP(A141,'2-Inventário de Necessidades'!$A$2:$C$63,3,0)</f>
        <v>Viabilizar a análise de dados e o cruzamento de informações.</v>
      </c>
      <c r="D141" s="415" t="s">
        <v>1397</v>
      </c>
      <c r="E141" s="416" t="s">
        <v>1396</v>
      </c>
      <c r="F141" s="417" t="s">
        <v>380</v>
      </c>
      <c r="G141" s="418"/>
      <c r="H141" s="419"/>
      <c r="I141" s="267">
        <f>VLOOKUP($D141,'REVISÃO 2017-1 - PRIORIZAÇÃO'!$D$2:$O$95,11,0)</f>
        <v>0</v>
      </c>
      <c r="J141" s="267">
        <f>VLOOKUP($D141,'REVISÃO 2017-1 - PRIORIZAÇÃO'!$D$2:$O$95,12,0)</f>
        <v>0</v>
      </c>
      <c r="K141" s="267"/>
      <c r="L141" s="267"/>
      <c r="M141" s="453" t="str">
        <f t="shared" ca="1" si="19"/>
        <v>-</v>
      </c>
      <c r="N141" s="418" t="s">
        <v>841</v>
      </c>
      <c r="O141" s="445">
        <f>IF(ISERROR(VLOOKUP(D141,'4-Investimento-Custeio'!$B$3:$I$39,8,0))=TRUE, 0, VLOOKUP(D141,'4-Investimento-Custeio'!$B$3:$I$39,8,0))</f>
        <v>0</v>
      </c>
      <c r="P141" s="319">
        <v>0</v>
      </c>
      <c r="Q141" s="418" t="str">
        <f t="shared" si="20"/>
        <v>Não Iniciado</v>
      </c>
      <c r="R141" s="418">
        <f t="shared" si="21"/>
        <v>0</v>
      </c>
      <c r="S141" s="153" t="s">
        <v>1171</v>
      </c>
      <c r="T141" s="275"/>
      <c r="U141" s="218"/>
    </row>
    <row r="142" spans="1:21" ht="50.1" customHeight="1" x14ac:dyDescent="0.2">
      <c r="A142" s="413" t="str">
        <f t="shared" si="22"/>
        <v>NC26</v>
      </c>
      <c r="B142" s="414" t="str">
        <f>VLOOKUP(A142,'2-Inventário de Necessidades'!$A$2:$B$63,2,0)</f>
        <v>SISTEMAS DE INFORMAÇÃO</v>
      </c>
      <c r="C142" s="414" t="str">
        <f>VLOOKUP(A142,'2-Inventário de Necessidades'!$A$2:$C$63,3,0)</f>
        <v>Viabilizar a análise de dados e o cruzamento de informações.</v>
      </c>
      <c r="D142" s="415" t="s">
        <v>1124</v>
      </c>
      <c r="E142" s="416" t="s">
        <v>1159</v>
      </c>
      <c r="F142" s="417" t="s">
        <v>380</v>
      </c>
      <c r="G142" s="418"/>
      <c r="H142" s="419"/>
      <c r="I142" s="267">
        <f>VLOOKUP($D142,'REVISÃO 2017-1 - PRIORIZAÇÃO'!$D$2:$O$95,11,0)</f>
        <v>43009</v>
      </c>
      <c r="J142" s="267">
        <f>VLOOKUP($D142,'REVISÃO 2017-1 - PRIORIZAÇÃO'!$D$2:$O$95,12,0)</f>
        <v>43070</v>
      </c>
      <c r="K142" s="267"/>
      <c r="L142" s="267"/>
      <c r="M142" s="453" t="str">
        <f t="shared" ca="1" si="19"/>
        <v>-</v>
      </c>
      <c r="N142" s="418" t="s">
        <v>841</v>
      </c>
      <c r="O142" s="445">
        <f>IF(ISERROR(VLOOKUP(D142,'4-Investimento-Custeio'!$B$3:$I$39,8,0))=TRUE, 0, VLOOKUP(D142,'4-Investimento-Custeio'!$B$3:$I$39,8,0))</f>
        <v>0</v>
      </c>
      <c r="P142" s="319">
        <v>0</v>
      </c>
      <c r="Q142" s="418" t="str">
        <f t="shared" si="20"/>
        <v>Não Iniciado</v>
      </c>
      <c r="R142" s="418">
        <f t="shared" si="21"/>
        <v>0</v>
      </c>
      <c r="S142" s="153" t="s">
        <v>1171</v>
      </c>
      <c r="T142" s="275">
        <v>83</v>
      </c>
      <c r="U142" s="218"/>
    </row>
    <row r="143" spans="1:21" ht="50.1" customHeight="1" x14ac:dyDescent="0.2">
      <c r="A143" s="413" t="str">
        <f t="shared" si="22"/>
        <v>NC37</v>
      </c>
      <c r="B143" s="414" t="str">
        <f>VLOOKUP(A143,'2-Inventário de Necessidades'!$A$2:$B$63,2,0)</f>
        <v>SISTEMAS DE INFORMAÇÃO</v>
      </c>
      <c r="C143" s="414" t="str">
        <f>VLOOKUP(A143,'2-Inventário de Necessidades'!$A$2:$C$63,3,0)</f>
        <v xml:space="preserve">Aprimorar a solução de gestão dos cadastros de pessoa física, jurídica e Estrutura Organizacional do Estado </v>
      </c>
      <c r="D143" s="415" t="s">
        <v>1160</v>
      </c>
      <c r="E143" s="416" t="s">
        <v>1398</v>
      </c>
      <c r="F143" s="417" t="s">
        <v>380</v>
      </c>
      <c r="G143" s="418"/>
      <c r="H143" s="419"/>
      <c r="I143" s="267">
        <f>VLOOKUP($D143,'REVISÃO 2017-1 - PRIORIZAÇÃO'!$D$2:$O$95,11,0)</f>
        <v>42948</v>
      </c>
      <c r="J143" s="267">
        <f>VLOOKUP($D143,'REVISÃO 2017-1 - PRIORIZAÇÃO'!$D$2:$O$95,12,0)</f>
        <v>43040</v>
      </c>
      <c r="K143" s="267"/>
      <c r="L143" s="267"/>
      <c r="M143" s="453" t="str">
        <f t="shared" ca="1" si="19"/>
        <v>-</v>
      </c>
      <c r="N143" s="418" t="s">
        <v>841</v>
      </c>
      <c r="O143" s="445">
        <f>IF(ISERROR(VLOOKUP(D143,'4-Investimento-Custeio'!$B$3:$I$39,8,0))=TRUE, 0, VLOOKUP(D143,'4-Investimento-Custeio'!$B$3:$I$39,8,0))</f>
        <v>0</v>
      </c>
      <c r="P143" s="319">
        <v>0</v>
      </c>
      <c r="Q143" s="153" t="str">
        <f t="shared" si="20"/>
        <v>Não Iniciado</v>
      </c>
      <c r="R143" s="418">
        <f t="shared" si="21"/>
        <v>0</v>
      </c>
      <c r="S143" s="153" t="s">
        <v>1171</v>
      </c>
      <c r="T143" s="275">
        <v>102</v>
      </c>
      <c r="U143" s="218" t="s">
        <v>1181</v>
      </c>
    </row>
    <row r="144" spans="1:21" ht="50.1" customHeight="1" x14ac:dyDescent="0.2">
      <c r="A144" s="413" t="str">
        <f t="shared" si="22"/>
        <v>NC56</v>
      </c>
      <c r="B144" s="414" t="str">
        <f>VLOOKUP(A144,'2-Inventário de Necessidades'!$A$2:$B$63,2,0)</f>
        <v>SERVIÇOS DE TI</v>
      </c>
      <c r="C144" s="414" t="str">
        <f>VLOOKUP(A144,'2-Inventário de Necessidades'!$A$2:$C$63,3,0)</f>
        <v>Ajustar sistemas internos às necessidades do usuários.</v>
      </c>
      <c r="D144" s="420" t="s">
        <v>1133</v>
      </c>
      <c r="E144" s="416" t="s">
        <v>1134</v>
      </c>
      <c r="F144" s="417" t="s">
        <v>380</v>
      </c>
      <c r="G144" s="421"/>
      <c r="H144" s="421"/>
      <c r="I144" s="267">
        <f>VLOOKUP($D144,'REVISÃO 2017-1 - PRIORIZAÇÃO'!$D$2:$O$95,11,0)</f>
        <v>43313</v>
      </c>
      <c r="J144" s="267">
        <f>VLOOKUP($D144,'REVISÃO 2017-1 - PRIORIZAÇÃO'!$D$2:$O$95,12,0)</f>
        <v>43405</v>
      </c>
      <c r="K144" s="267"/>
      <c r="L144" s="267"/>
      <c r="M144" s="451" t="str">
        <f t="shared" ca="1" si="19"/>
        <v>-</v>
      </c>
      <c r="N144" s="418" t="s">
        <v>841</v>
      </c>
      <c r="O144" s="445">
        <f>IF(ISERROR(VLOOKUP(D144,'4-Investimento-Custeio'!$B$3:$I$39,8,0))=TRUE, 0, VLOOKUP(D144,'4-Investimento-Custeio'!$B$3:$I$39,8,0))</f>
        <v>0</v>
      </c>
      <c r="P144" s="319">
        <v>0</v>
      </c>
      <c r="Q144" s="153" t="str">
        <f t="shared" si="20"/>
        <v>Não Iniciado</v>
      </c>
      <c r="R144" s="422">
        <f t="shared" si="21"/>
        <v>0</v>
      </c>
      <c r="S144" s="153" t="s">
        <v>1171</v>
      </c>
      <c r="T144" s="275">
        <v>152</v>
      </c>
      <c r="U144" s="218" t="s">
        <v>1180</v>
      </c>
    </row>
    <row r="145" spans="1:21" ht="50.1" customHeight="1" x14ac:dyDescent="0.2">
      <c r="A145" s="413" t="str">
        <f t="shared" si="22"/>
        <v>NC61</v>
      </c>
      <c r="B145" s="414" t="str">
        <f>VLOOKUP(A145,'2-Inventário de Necessidades'!$A$2:$B$63,2,0)</f>
        <v>SISTEMAS DE INFORMAÇÃO</v>
      </c>
      <c r="C145" s="414" t="str">
        <f>VLOOKUP(A145,'2-Inventário de Necessidades'!$A$2:$C$63,3,0)</f>
        <v>Viabilizar a fiscalização e acompanhamento de concursos públicos</v>
      </c>
      <c r="D145" s="315" t="s">
        <v>1143</v>
      </c>
      <c r="E145" s="416" t="s">
        <v>1144</v>
      </c>
      <c r="F145" s="417" t="s">
        <v>380</v>
      </c>
      <c r="G145" s="418">
        <v>1</v>
      </c>
      <c r="H145" s="318" t="str">
        <f t="shared" ref="H145:H171" si="23">IF(
 ROUNDUP(SUM((J145-I145)/30),0)&gt;0,
 CONCATENATE(ROUNDUP(SUM((J145-I145)/30),0)," meses"),
  IF((G145*3)&lt;5,
  CONCATENATE(((G145*3)-1)," a ",G145*3," meses"),
   IF((G145*3)&gt;11,
   CONCATENATE("Superior a ", SUM((G145*3)/12)," ano(s)"),
   CONCATENATE(((G145*3)-1)," a ",G145*3," meses")
   )
  )
 )</f>
        <v>7 meses</v>
      </c>
      <c r="I145" s="267">
        <f>VLOOKUP($D145,'REVISÃO 2017-1 - PRIORIZAÇÃO'!$D$2:$O$95,11,0)</f>
        <v>43101</v>
      </c>
      <c r="J145" s="267">
        <f>VLOOKUP($D145,'REVISÃO 2017-1 - PRIORIZAÇÃO'!$D$2:$O$95,12,0)</f>
        <v>43282</v>
      </c>
      <c r="K145" s="267"/>
      <c r="L145" s="267"/>
      <c r="M145" s="453" t="str">
        <f t="shared" ca="1" si="19"/>
        <v>-</v>
      </c>
      <c r="N145" s="418" t="s">
        <v>841</v>
      </c>
      <c r="O145" s="445">
        <f>IF(ISERROR(VLOOKUP(D145,'4-Investimento-Custeio'!$B$3:$I$39,8,0))=TRUE, 0, VLOOKUP(D145,'4-Investimento-Custeio'!$B$3:$I$39,8,0))</f>
        <v>0</v>
      </c>
      <c r="P145" s="319">
        <v>0</v>
      </c>
      <c r="Q145" s="153" t="str">
        <f t="shared" si="20"/>
        <v>Não Iniciado</v>
      </c>
      <c r="R145" s="418">
        <f t="shared" si="21"/>
        <v>0</v>
      </c>
      <c r="S145" s="153" t="s">
        <v>1171</v>
      </c>
      <c r="T145" s="275">
        <v>167</v>
      </c>
      <c r="U145" s="218" t="s">
        <v>1180</v>
      </c>
    </row>
    <row r="146" spans="1:21" ht="50.1" customHeight="1" x14ac:dyDescent="0.2">
      <c r="A146" s="413" t="s">
        <v>121</v>
      </c>
      <c r="B146" s="414" t="str">
        <f>VLOOKUP(A146,'2-Inventário de Necessidades'!$A$2:$B$63,2,0)</f>
        <v>SISTEMAS DE INFORMAÇÃO</v>
      </c>
      <c r="C146" s="414" t="str">
        <f>VLOOKUP(A146,'2-Inventário de Necessidades'!$A$2:$C$63,3,0)</f>
        <v>Desenvolvimento de solução para fiscalização de contratação de pessoal temporários</v>
      </c>
      <c r="D146" s="415" t="s">
        <v>1026</v>
      </c>
      <c r="E146" s="416" t="s">
        <v>123</v>
      </c>
      <c r="F146" s="417" t="s">
        <v>380</v>
      </c>
      <c r="G146" s="418">
        <v>1</v>
      </c>
      <c r="H146" s="418" t="str">
        <f t="shared" si="23"/>
        <v>3 meses</v>
      </c>
      <c r="I146" s="267">
        <f>VLOOKUP($D146,'REVISÃO 2017-1 - PRIORIZAÇÃO'!$D$2:$O$95,11,0)</f>
        <v>42979</v>
      </c>
      <c r="J146" s="267">
        <f>VLOOKUP($D146,'REVISÃO 2017-1 - PRIORIZAÇÃO'!$D$2:$O$95,12,0)</f>
        <v>43040</v>
      </c>
      <c r="K146" s="267"/>
      <c r="L146" s="267"/>
      <c r="M146" s="453" t="str">
        <f t="shared" ca="1" si="19"/>
        <v>-</v>
      </c>
      <c r="N146" s="418" t="s">
        <v>841</v>
      </c>
      <c r="O146" s="445">
        <f>IF(ISERROR(VLOOKUP(D146,'4-Investimento-Custeio'!$B$3:$I$39,8,0))=TRUE, 0, VLOOKUP(D146,'4-Investimento-Custeio'!$B$3:$I$39,8,0))</f>
        <v>0</v>
      </c>
      <c r="P146" s="319">
        <v>0</v>
      </c>
      <c r="Q146" s="418" t="str">
        <f t="shared" si="20"/>
        <v>Não Iniciado</v>
      </c>
      <c r="R146" s="418">
        <f t="shared" si="21"/>
        <v>0</v>
      </c>
      <c r="S146" s="153" t="s">
        <v>1220</v>
      </c>
      <c r="T146" s="275">
        <v>96</v>
      </c>
      <c r="U146" s="218" t="s">
        <v>1181</v>
      </c>
    </row>
    <row r="147" spans="1:21" ht="50.1" customHeight="1" x14ac:dyDescent="0.2">
      <c r="A147" s="314" t="s">
        <v>172</v>
      </c>
      <c r="B147" s="344" t="str">
        <f>VLOOKUP(A147,'2-Inventário de Necessidades'!$A$2:$B$63,2,0)</f>
        <v>SISTEMAS DE INFORMAÇÃO</v>
      </c>
      <c r="C147" s="344" t="str">
        <f>VLOOKUP(A147,'2-Inventário de Necessidades'!$A$2:$C$63,3,0)</f>
        <v>Desenvolvimento de solução para gestão de declarações de bens e rendas</v>
      </c>
      <c r="D147" s="315" t="s">
        <v>1028</v>
      </c>
      <c r="E147" s="316" t="s">
        <v>174</v>
      </c>
      <c r="F147" s="317" t="s">
        <v>220</v>
      </c>
      <c r="G147" s="318">
        <v>2</v>
      </c>
      <c r="H147" s="318" t="str">
        <f t="shared" si="23"/>
        <v>8 meses</v>
      </c>
      <c r="I147" s="267">
        <f>VLOOKUP($D147,'REVISÃO 2017-1 - PRIORIZAÇÃO'!$D$2:$O$95,11,0)</f>
        <v>42887</v>
      </c>
      <c r="J147" s="267">
        <f>VLOOKUP($D147,'REVISÃO 2017-1 - PRIORIZAÇÃO'!$D$2:$O$95,12,0)</f>
        <v>43101</v>
      </c>
      <c r="K147" s="267"/>
      <c r="L147" s="267"/>
      <c r="M147" s="452" t="str">
        <f t="shared" ca="1" si="19"/>
        <v>-</v>
      </c>
      <c r="N147" s="318" t="s">
        <v>841</v>
      </c>
      <c r="O147" s="445">
        <f>IF(ISERROR(VLOOKUP(D147,'4-Investimento-Custeio'!$B$3:$I$39,8,0))=TRUE, 0, VLOOKUP(D147,'4-Investimento-Custeio'!$B$3:$I$39,8,0))</f>
        <v>0</v>
      </c>
      <c r="P147" s="319">
        <v>0</v>
      </c>
      <c r="Q147" s="153" t="str">
        <f t="shared" si="20"/>
        <v>Não Iniciado</v>
      </c>
      <c r="R147" s="320">
        <f t="shared" si="21"/>
        <v>0</v>
      </c>
      <c r="S147" s="153" t="s">
        <v>1220</v>
      </c>
      <c r="T147" s="275">
        <v>120</v>
      </c>
      <c r="U147" s="218"/>
    </row>
    <row r="148" spans="1:21" ht="50.1" customHeight="1" x14ac:dyDescent="0.2">
      <c r="A148" s="314" t="s">
        <v>911</v>
      </c>
      <c r="B148" s="344" t="str">
        <f>VLOOKUP(A148,'2-Inventário de Necessidades'!$A$2:$B$63,2,0)</f>
        <v>SISTEMAS DE INFORMAÇÃO</v>
      </c>
      <c r="C148" s="344" t="str">
        <f>VLOOKUP(A148,'2-Inventário de Necessidades'!$A$2:$C$63,3,0)</f>
        <v>Prover solução de gestão corporativa de riscos (MMD)</v>
      </c>
      <c r="D148" s="315" t="s">
        <v>923</v>
      </c>
      <c r="E148" s="316" t="s">
        <v>914</v>
      </c>
      <c r="F148" s="317" t="s">
        <v>220</v>
      </c>
      <c r="G148" s="318">
        <v>3</v>
      </c>
      <c r="H148" s="318" t="str">
        <f t="shared" si="23"/>
        <v>12 meses</v>
      </c>
      <c r="I148" s="267">
        <f>VLOOKUP($D148,'REVISÃO 2017-1 - PRIORIZAÇÃO'!$D$2:$O$95,11,0)</f>
        <v>43101</v>
      </c>
      <c r="J148" s="267">
        <f>VLOOKUP($D148,'REVISÃO 2017-1 - PRIORIZAÇÃO'!$D$2:$O$95,12,0)</f>
        <v>43435</v>
      </c>
      <c r="K148" s="267"/>
      <c r="L148" s="267"/>
      <c r="M148" s="452" t="str">
        <f t="shared" ca="1" si="19"/>
        <v>-</v>
      </c>
      <c r="N148" s="318" t="s">
        <v>296</v>
      </c>
      <c r="O148" s="445">
        <f>IF(ISERROR(VLOOKUP(D148,'4-Investimento-Custeio'!$B$3:$I$39,8,0))=TRUE, 0, VLOOKUP(D148,'4-Investimento-Custeio'!$B$3:$I$39,8,0))</f>
        <v>100000</v>
      </c>
      <c r="P148" s="319">
        <v>0</v>
      </c>
      <c r="Q148" s="153" t="str">
        <f t="shared" si="20"/>
        <v>Não Iniciado</v>
      </c>
      <c r="R148" s="320">
        <f t="shared" si="21"/>
        <v>0</v>
      </c>
      <c r="S148" s="153" t="s">
        <v>1220</v>
      </c>
      <c r="T148" s="275">
        <v>162</v>
      </c>
      <c r="U148" s="218" t="s">
        <v>1181</v>
      </c>
    </row>
    <row r="149" spans="1:21" ht="50.1" customHeight="1" x14ac:dyDescent="0.2">
      <c r="A149" s="542" t="s">
        <v>15</v>
      </c>
      <c r="B149" s="543" t="str">
        <f>VLOOKUP(A149,'2-Inventário de Necessidades'!$A$2:$B$63,2,0)</f>
        <v>SISTEMAS DE INFORMAÇÃO</v>
      </c>
      <c r="C149" s="543" t="str">
        <f>VLOOKUP(A149,'2-Inventário de Necessidades'!$A$2:$C$63,3,0)</f>
        <v>Viabilização de solução para atender à Nova Contabilidade do Setor Público</v>
      </c>
      <c r="D149" s="556" t="s">
        <v>1018</v>
      </c>
      <c r="E149" s="557" t="s">
        <v>1395</v>
      </c>
      <c r="F149" s="558" t="s">
        <v>380</v>
      </c>
      <c r="G149" s="559">
        <v>4</v>
      </c>
      <c r="H149" s="547" t="str">
        <f t="shared" si="23"/>
        <v>7 meses</v>
      </c>
      <c r="I149" s="548">
        <f>VLOOKUP($D149,'REVISÃO 2017-1 - PRIORIZAÇÃO'!$D$2:$O$95,11,0)</f>
        <v>42979</v>
      </c>
      <c r="J149" s="548">
        <f>VLOOKUP($D149,'REVISÃO 2017-1 - PRIORIZAÇÃO'!$D$2:$O$95,12,0)</f>
        <v>43160</v>
      </c>
      <c r="K149" s="548">
        <v>42887</v>
      </c>
      <c r="L149" s="548"/>
      <c r="M149" s="549" t="str">
        <f t="shared" ca="1" si="19"/>
        <v>7 meses</v>
      </c>
      <c r="N149" s="559" t="s">
        <v>841</v>
      </c>
      <c r="O149" s="550">
        <f>IF(ISERROR(VLOOKUP(D149,'4-Investimento-Custeio'!$B$3:$I$39,8,0))=TRUE, 0, VLOOKUP(D149,'4-Investimento-Custeio'!$B$3:$I$39,8,0))</f>
        <v>0</v>
      </c>
      <c r="P149" s="551">
        <v>0</v>
      </c>
      <c r="Q149" s="552" t="str">
        <f t="shared" si="20"/>
        <v>Em andamento</v>
      </c>
      <c r="R149" s="559">
        <f t="shared" si="21"/>
        <v>0</v>
      </c>
      <c r="S149" s="559" t="s">
        <v>1172</v>
      </c>
      <c r="T149" s="275">
        <v>4</v>
      </c>
      <c r="U149" s="218" t="s">
        <v>1181</v>
      </c>
    </row>
    <row r="150" spans="1:21" ht="50.1" customHeight="1" x14ac:dyDescent="0.2">
      <c r="A150" s="314" t="s">
        <v>28</v>
      </c>
      <c r="B150" s="344" t="str">
        <f>VLOOKUP(A150,'2-Inventário de Necessidades'!$A$2:$B$63,2,0)</f>
        <v>SISTEMAS DE INFORMAÇÃO</v>
      </c>
      <c r="C150" s="344" t="str">
        <f>VLOOKUP(A150,'2-Inventário de Necessidades'!$A$2:$C$63,3,0)</f>
        <v>Desenvolvimento de solução de aprimoramento do acompanhamento de decisões</v>
      </c>
      <c r="D150" s="315" t="s">
        <v>1029</v>
      </c>
      <c r="E150" s="316" t="s">
        <v>769</v>
      </c>
      <c r="F150" s="317" t="s">
        <v>380</v>
      </c>
      <c r="G150" s="318">
        <v>1</v>
      </c>
      <c r="H150" s="318" t="str">
        <f t="shared" si="23"/>
        <v>5 meses</v>
      </c>
      <c r="I150" s="267">
        <f>VLOOKUP($D150,'REVISÃO 2017-1 - PRIORIZAÇÃO'!$D$2:$O$95,11,0)</f>
        <v>43160</v>
      </c>
      <c r="J150" s="267">
        <f>VLOOKUP($D150,'REVISÃO 2017-1 - PRIORIZAÇÃO'!$D$2:$O$95,12,0)</f>
        <v>43282</v>
      </c>
      <c r="K150" s="267"/>
      <c r="L150" s="267"/>
      <c r="M150" s="452" t="str">
        <f t="shared" ca="1" si="19"/>
        <v>-</v>
      </c>
      <c r="N150" s="318" t="s">
        <v>841</v>
      </c>
      <c r="O150" s="445">
        <f>IF(ISERROR(VLOOKUP(D150,'4-Investimento-Custeio'!$B$3:$I$39,8,0))=TRUE, 0, VLOOKUP(D150,'4-Investimento-Custeio'!$B$3:$I$39,8,0))</f>
        <v>0</v>
      </c>
      <c r="P150" s="319">
        <v>0</v>
      </c>
      <c r="Q150" s="153" t="str">
        <f t="shared" si="20"/>
        <v>Não Iniciado</v>
      </c>
      <c r="R150" s="320">
        <f t="shared" si="21"/>
        <v>0</v>
      </c>
      <c r="S150" s="153" t="s">
        <v>1172</v>
      </c>
      <c r="T150" s="275">
        <v>15</v>
      </c>
      <c r="U150" s="218" t="s">
        <v>1180</v>
      </c>
    </row>
    <row r="151" spans="1:21" s="221" customFormat="1" ht="50.1" customHeight="1" x14ac:dyDescent="0.25">
      <c r="A151" s="314" t="s">
        <v>30</v>
      </c>
      <c r="B151" s="344" t="str">
        <f>VLOOKUP(A151,'2-Inventário de Necessidades'!$A$2:$B$63,2,0)</f>
        <v>SISTEMAS DE INFORMAÇÃO</v>
      </c>
      <c r="C151" s="344" t="str">
        <f>VLOOKUP(A151,'2-Inventário de Necessidades'!$A$2:$C$63,3,0)</f>
        <v>Desenvolvimento de solução de sistematização e consolidação de normas e jurisprudência</v>
      </c>
      <c r="D151" s="315" t="s">
        <v>1025</v>
      </c>
      <c r="E151" s="316" t="s">
        <v>960</v>
      </c>
      <c r="F151" s="317" t="s">
        <v>380</v>
      </c>
      <c r="G151" s="318">
        <v>2</v>
      </c>
      <c r="H151" s="318" t="str">
        <f t="shared" si="23"/>
        <v>6 meses</v>
      </c>
      <c r="I151" s="267">
        <f>VLOOKUP($D151,'REVISÃO 2017-1 - PRIORIZAÇÃO'!$D$2:$O$95,11,0)</f>
        <v>43191</v>
      </c>
      <c r="J151" s="267">
        <f>VLOOKUP($D151,'REVISÃO 2017-1 - PRIORIZAÇÃO'!$D$2:$O$95,12,0)</f>
        <v>43344</v>
      </c>
      <c r="K151" s="267"/>
      <c r="L151" s="267"/>
      <c r="M151" s="452" t="str">
        <f t="shared" ca="1" si="19"/>
        <v>-</v>
      </c>
      <c r="N151" s="318" t="s">
        <v>841</v>
      </c>
      <c r="O151" s="445">
        <f>IF(ISERROR(VLOOKUP(D151,'4-Investimento-Custeio'!$B$3:$I$39,8,0))=TRUE, 0, VLOOKUP(D151,'4-Investimento-Custeio'!$B$3:$I$39,8,0))</f>
        <v>0</v>
      </c>
      <c r="P151" s="319">
        <v>0</v>
      </c>
      <c r="Q151" s="153" t="str">
        <f t="shared" si="20"/>
        <v>Não Iniciado</v>
      </c>
      <c r="R151" s="320">
        <f t="shared" si="21"/>
        <v>0</v>
      </c>
      <c r="S151" s="153" t="s">
        <v>1172</v>
      </c>
      <c r="T151" s="275">
        <v>17</v>
      </c>
      <c r="U151" s="218" t="s">
        <v>1180</v>
      </c>
    </row>
    <row r="152" spans="1:21" s="221" customFormat="1" ht="50.1" customHeight="1" x14ac:dyDescent="0.25">
      <c r="A152" s="314" t="s">
        <v>132</v>
      </c>
      <c r="B152" s="344" t="str">
        <f>VLOOKUP(A152,'2-Inventário de Necessidades'!$A$2:$B$63,2,0)</f>
        <v>SISTEMAS DE INFORMAÇÃO</v>
      </c>
      <c r="C152" s="344" t="str">
        <f>VLOOKUP(A152,'2-Inventário de Necessidades'!$A$2:$C$63,3,0)</f>
        <v xml:space="preserve">Aprimorar a solução de gestão dos cadastros de pessoa física, jurídica e Estrutura Organizacional do Estado </v>
      </c>
      <c r="D152" s="315" t="s">
        <v>1004</v>
      </c>
      <c r="E152" s="316" t="s">
        <v>133</v>
      </c>
      <c r="F152" s="317" t="s">
        <v>380</v>
      </c>
      <c r="G152" s="318">
        <v>2</v>
      </c>
      <c r="H152" s="318" t="str">
        <f t="shared" si="23"/>
        <v>20 meses</v>
      </c>
      <c r="I152" s="267">
        <f>VLOOKUP($D152,'REVISÃO 2017-1 - PRIORIZAÇÃO'!$D$2:$O$95,11,0)</f>
        <v>42856</v>
      </c>
      <c r="J152" s="267">
        <f>VLOOKUP($D152,'REVISÃO 2017-1 - PRIORIZAÇÃO'!$D$2:$O$95,12,0)</f>
        <v>43435</v>
      </c>
      <c r="K152" s="267"/>
      <c r="L152" s="267"/>
      <c r="M152" s="452" t="str">
        <f t="shared" ca="1" si="19"/>
        <v>-</v>
      </c>
      <c r="N152" s="318" t="s">
        <v>841</v>
      </c>
      <c r="O152" s="445">
        <f>IF(ISERROR(VLOOKUP(D152,'4-Investimento-Custeio'!$B$3:$I$39,8,0))=TRUE, 0, VLOOKUP(D152,'4-Investimento-Custeio'!$B$3:$I$39,8,0))</f>
        <v>0</v>
      </c>
      <c r="P152" s="319">
        <v>0</v>
      </c>
      <c r="Q152" s="153" t="str">
        <f t="shared" si="20"/>
        <v>Não Iniciado</v>
      </c>
      <c r="R152" s="320">
        <f t="shared" si="21"/>
        <v>0</v>
      </c>
      <c r="S152" s="153" t="s">
        <v>1172</v>
      </c>
      <c r="T152" s="275">
        <v>101</v>
      </c>
      <c r="U152" s="218" t="s">
        <v>1181</v>
      </c>
    </row>
    <row r="153" spans="1:21" s="221" customFormat="1" ht="50.1" customHeight="1" x14ac:dyDescent="0.25">
      <c r="A153" s="314" t="s">
        <v>32</v>
      </c>
      <c r="B153" s="344" t="str">
        <f>VLOOKUP(A153,'2-Inventário de Necessidades'!$A$2:$B$63,2,0)</f>
        <v>INFRAESTRUTURA DE TI</v>
      </c>
      <c r="C153" s="344" t="str">
        <f>VLOOKUP(A153,'2-Inventário de Necessidades'!$A$2:$C$63,3,0)</f>
        <v>Manutenção, ampliação e melhoria da infraestrutura de TI e da 
rede de comunicação</v>
      </c>
      <c r="D153" s="315" t="s">
        <v>836</v>
      </c>
      <c r="E153" s="316" t="s">
        <v>34</v>
      </c>
      <c r="F153" s="317" t="s">
        <v>380</v>
      </c>
      <c r="G153" s="318">
        <v>1</v>
      </c>
      <c r="H153" s="318" t="str">
        <f t="shared" si="23"/>
        <v>5 meses</v>
      </c>
      <c r="I153" s="267">
        <f>VLOOKUP($D153,'REVISÃO 2017-1 - PRIORIZAÇÃO'!$D$2:$O$95,11,0)</f>
        <v>43313</v>
      </c>
      <c r="J153" s="267">
        <f>VLOOKUP($D153,'REVISÃO 2017-1 - PRIORIZAÇÃO'!$D$2:$O$95,12,0)</f>
        <v>43435</v>
      </c>
      <c r="K153" s="267"/>
      <c r="L153" s="267"/>
      <c r="M153" s="452" t="str">
        <f t="shared" ca="1" si="19"/>
        <v>-</v>
      </c>
      <c r="N153" s="318" t="s">
        <v>296</v>
      </c>
      <c r="O153" s="445">
        <f>IF(ISERROR(VLOOKUP(D153,'4-Investimento-Custeio'!$B$3:$I$39,8,0))=TRUE, 0, VLOOKUP(D153,'4-Investimento-Custeio'!$B$3:$I$39,8,0))</f>
        <v>25000</v>
      </c>
      <c r="P153" s="319">
        <v>0</v>
      </c>
      <c r="Q153" s="153" t="str">
        <f t="shared" si="20"/>
        <v>Não Iniciado</v>
      </c>
      <c r="R153" s="320">
        <f t="shared" si="21"/>
        <v>0</v>
      </c>
      <c r="S153" s="153"/>
      <c r="T153" s="275">
        <v>19</v>
      </c>
      <c r="U153" s="218"/>
    </row>
    <row r="154" spans="1:21" s="221" customFormat="1" ht="50.1" customHeight="1" x14ac:dyDescent="0.25">
      <c r="A154" s="314" t="s">
        <v>32</v>
      </c>
      <c r="B154" s="344" t="str">
        <f>VLOOKUP(A154,'2-Inventário de Necessidades'!$A$2:$B$63,2,0)</f>
        <v>INFRAESTRUTURA DE TI</v>
      </c>
      <c r="C154" s="344" t="str">
        <f>VLOOKUP(A154,'2-Inventário de Necessidades'!$A$2:$C$63,3,0)</f>
        <v>Manutenção, ampliação e melhoria da infraestrutura de TI e da 
rede de comunicação</v>
      </c>
      <c r="D154" s="315" t="s">
        <v>44</v>
      </c>
      <c r="E154" s="316" t="s">
        <v>842</v>
      </c>
      <c r="F154" s="317" t="s">
        <v>220</v>
      </c>
      <c r="G154" s="318">
        <v>1</v>
      </c>
      <c r="H154" s="318" t="str">
        <f t="shared" si="23"/>
        <v>7 meses</v>
      </c>
      <c r="I154" s="267">
        <f>VLOOKUP($D154,'REVISÃO 2017-1 - PRIORIZAÇÃO'!$D$2:$O$95,11,0)</f>
        <v>43101</v>
      </c>
      <c r="J154" s="267">
        <f>VLOOKUP($D154,'REVISÃO 2017-1 - PRIORIZAÇÃO'!$D$2:$O$95,12,0)</f>
        <v>43282</v>
      </c>
      <c r="K154" s="267"/>
      <c r="L154" s="267"/>
      <c r="M154" s="452" t="str">
        <f t="shared" ca="1" si="19"/>
        <v>-</v>
      </c>
      <c r="N154" s="318" t="s">
        <v>293</v>
      </c>
      <c r="O154" s="445">
        <f>IF(ISERROR(VLOOKUP(D154,'4-Investimento-Custeio'!$B$3:$I$39,8,0))=TRUE, 0, VLOOKUP(D154,'4-Investimento-Custeio'!$B$3:$I$39,8,0))</f>
        <v>45000</v>
      </c>
      <c r="P154" s="319">
        <v>0</v>
      </c>
      <c r="Q154" s="153" t="str">
        <f t="shared" si="20"/>
        <v>Não Iniciado</v>
      </c>
      <c r="R154" s="320">
        <f t="shared" si="21"/>
        <v>0</v>
      </c>
      <c r="S154" s="153"/>
      <c r="T154" s="275">
        <v>29</v>
      </c>
      <c r="U154" s="218"/>
    </row>
    <row r="155" spans="1:21" s="221" customFormat="1" ht="50.1" customHeight="1" x14ac:dyDescent="0.25">
      <c r="A155" s="314" t="s">
        <v>54</v>
      </c>
      <c r="B155" s="344" t="str">
        <f>VLOOKUP(A155,'2-Inventário de Necessidades'!$A$2:$B$63,2,0)</f>
        <v>PESSOAL DE TI</v>
      </c>
      <c r="C155" s="344" t="str">
        <f>VLOOKUP(A155,'2-Inventário de Necessidades'!$A$2:$C$63,3,0)</f>
        <v>Ampliação e valorização do quadro de servidores de TI.</v>
      </c>
      <c r="D155" s="315" t="s">
        <v>1075</v>
      </c>
      <c r="E155" s="316" t="s">
        <v>814</v>
      </c>
      <c r="F155" s="317" t="s">
        <v>220</v>
      </c>
      <c r="G155" s="318">
        <v>2</v>
      </c>
      <c r="H155" s="318" t="str">
        <f t="shared" si="23"/>
        <v>24 meses</v>
      </c>
      <c r="I155" s="267">
        <f>VLOOKUP($D155,'REVISÃO 2017-1 - PRIORIZAÇÃO'!$D$2:$O$95,11,0)</f>
        <v>42736</v>
      </c>
      <c r="J155" s="267">
        <f>VLOOKUP($D155,'REVISÃO 2017-1 - PRIORIZAÇÃO'!$D$2:$O$95,12,0)</f>
        <v>43435</v>
      </c>
      <c r="K155" s="267"/>
      <c r="L155" s="267"/>
      <c r="M155" s="452" t="str">
        <f t="shared" ca="1" si="19"/>
        <v>-</v>
      </c>
      <c r="N155" s="318" t="s">
        <v>295</v>
      </c>
      <c r="O155" s="445">
        <f>IF(ISERROR(VLOOKUP(D155,'4-Investimento-Custeio'!$B$3:$I$39,8,0))=TRUE, 0, VLOOKUP(D155,'4-Investimento-Custeio'!$B$3:$I$39,8,0))</f>
        <v>0</v>
      </c>
      <c r="P155" s="319">
        <v>0</v>
      </c>
      <c r="Q155" s="153" t="str">
        <f t="shared" si="20"/>
        <v>Não Iniciado</v>
      </c>
      <c r="R155" s="320">
        <f t="shared" si="21"/>
        <v>0</v>
      </c>
      <c r="S155" s="153"/>
      <c r="T155" s="275">
        <v>40</v>
      </c>
      <c r="U155" s="218"/>
    </row>
    <row r="156" spans="1:21" s="221" customFormat="1" ht="50.1" customHeight="1" x14ac:dyDescent="0.25">
      <c r="A156" s="314" t="s">
        <v>60</v>
      </c>
      <c r="B156" s="344" t="str">
        <f>VLOOKUP(A156,'2-Inventário de Necessidades'!$A$2:$B$63,2,0)</f>
        <v>GOVERNANÇA E GESTÃO DE TI</v>
      </c>
      <c r="C156" s="344" t="str">
        <f>VLOOKUP(A156,'2-Inventário de Necessidades'!$A$2:$C$63,3,0)</f>
        <v>Implantação da governança de TI</v>
      </c>
      <c r="D156" s="315" t="s">
        <v>989</v>
      </c>
      <c r="E156" s="316" t="s">
        <v>62</v>
      </c>
      <c r="F156" s="317" t="s">
        <v>220</v>
      </c>
      <c r="G156" s="318">
        <v>4</v>
      </c>
      <c r="H156" s="318" t="str">
        <f t="shared" si="23"/>
        <v>12 meses</v>
      </c>
      <c r="I156" s="267">
        <f>VLOOKUP($D156,'REVISÃO 2017-1 - PRIORIZAÇÃO'!$D$2:$O$95,11,0)</f>
        <v>43101</v>
      </c>
      <c r="J156" s="267">
        <f>VLOOKUP($D156,'REVISÃO 2017-1 - PRIORIZAÇÃO'!$D$2:$O$95,12,0)</f>
        <v>43435</v>
      </c>
      <c r="K156" s="267"/>
      <c r="L156" s="267"/>
      <c r="M156" s="452" t="str">
        <f t="shared" ca="1" si="19"/>
        <v>-</v>
      </c>
      <c r="N156" s="318" t="s">
        <v>295</v>
      </c>
      <c r="O156" s="445">
        <f>IF(ISERROR(VLOOKUP(D156,'4-Investimento-Custeio'!$B$3:$I$39,8,0))=TRUE, 0, VLOOKUP(D156,'4-Investimento-Custeio'!$B$3:$I$39,8,0))</f>
        <v>0</v>
      </c>
      <c r="P156" s="319">
        <v>0</v>
      </c>
      <c r="Q156" s="153" t="str">
        <f t="shared" si="20"/>
        <v>Não Iniciado</v>
      </c>
      <c r="R156" s="320">
        <f t="shared" si="21"/>
        <v>0</v>
      </c>
      <c r="S156" s="153"/>
      <c r="T156" s="275">
        <v>46</v>
      </c>
      <c r="U156" s="218"/>
    </row>
    <row r="157" spans="1:21" s="221" customFormat="1" ht="50.1" customHeight="1" x14ac:dyDescent="0.25">
      <c r="A157" s="314" t="s">
        <v>83</v>
      </c>
      <c r="B157" s="344" t="str">
        <f>VLOOKUP(A157,'2-Inventário de Necessidades'!$A$2:$B$63,2,0)</f>
        <v>GOVERNANÇA E GESTÃO DE TI</v>
      </c>
      <c r="C157" s="344" t="str">
        <f>VLOOKUP(A157,'2-Inventário de Necessidades'!$A$2:$C$63,3,0)</f>
        <v>Implantação da Gestão de Segurança da Informação</v>
      </c>
      <c r="D157" s="315" t="s">
        <v>990</v>
      </c>
      <c r="E157" s="316" t="s">
        <v>85</v>
      </c>
      <c r="F157" s="317" t="s">
        <v>220</v>
      </c>
      <c r="G157" s="318">
        <v>6</v>
      </c>
      <c r="H157" s="318" t="str">
        <f t="shared" si="23"/>
        <v>5 meses</v>
      </c>
      <c r="I157" s="267">
        <f>VLOOKUP($D157,'REVISÃO 2017-1 - PRIORIZAÇÃO'!$D$3:$O$95,11,0)</f>
        <v>42948</v>
      </c>
      <c r="J157" s="267">
        <f>VLOOKUP($D157,'REVISÃO 2017-1 - PRIORIZAÇÃO'!$D$3:$O$95,12,0)</f>
        <v>43070</v>
      </c>
      <c r="K157" s="267"/>
      <c r="L157" s="267"/>
      <c r="M157" s="452" t="str">
        <f t="shared" ca="1" si="19"/>
        <v>-</v>
      </c>
      <c r="N157" s="318" t="s">
        <v>295</v>
      </c>
      <c r="O157" s="445">
        <f>IF(ISERROR(VLOOKUP(D157,'4-Investimento-Custeio'!$B$3:$I$39,8,0))=TRUE, 0, VLOOKUP(D157,'4-Investimento-Custeio'!$B$3:$I$39,8,0))</f>
        <v>0</v>
      </c>
      <c r="P157" s="319">
        <v>0</v>
      </c>
      <c r="Q157" s="153" t="str">
        <f t="shared" si="20"/>
        <v>Não Iniciado</v>
      </c>
      <c r="R157" s="320">
        <f t="shared" si="21"/>
        <v>0</v>
      </c>
      <c r="S157" s="153"/>
      <c r="T157" s="275">
        <v>59</v>
      </c>
      <c r="U157" s="218"/>
    </row>
    <row r="158" spans="1:21" s="221" customFormat="1" ht="50.1" customHeight="1" x14ac:dyDescent="0.25">
      <c r="A158" s="314" t="s">
        <v>83</v>
      </c>
      <c r="B158" s="344" t="str">
        <f>VLOOKUP(A158,'2-Inventário de Necessidades'!$A$2:$B$63,2,0)</f>
        <v>GOVERNANÇA E GESTÃO DE TI</v>
      </c>
      <c r="C158" s="344" t="str">
        <f>VLOOKUP(A158,'2-Inventário de Necessidades'!$A$2:$C$63,3,0)</f>
        <v>Implantação da Gestão de Segurança da Informação</v>
      </c>
      <c r="D158" s="315" t="s">
        <v>1089</v>
      </c>
      <c r="E158" s="316" t="s">
        <v>86</v>
      </c>
      <c r="F158" s="317" t="s">
        <v>220</v>
      </c>
      <c r="G158" s="318">
        <v>6</v>
      </c>
      <c r="H158" s="318" t="str">
        <f t="shared" si="23"/>
        <v>5 meses</v>
      </c>
      <c r="I158" s="267">
        <f>VLOOKUP($D158,'REVISÃO 2017-1 - PRIORIZAÇÃO'!$D$3:$O$95,11,0)</f>
        <v>42948</v>
      </c>
      <c r="J158" s="267">
        <f>VLOOKUP($D158,'REVISÃO 2017-1 - PRIORIZAÇÃO'!$D$3:$O$95,12,0)</f>
        <v>43070</v>
      </c>
      <c r="K158" s="267"/>
      <c r="L158" s="267"/>
      <c r="M158" s="452" t="str">
        <f t="shared" ca="1" si="19"/>
        <v>-</v>
      </c>
      <c r="N158" s="318" t="s">
        <v>295</v>
      </c>
      <c r="O158" s="445">
        <f>IF(ISERROR(VLOOKUP(D158,'4-Investimento-Custeio'!$B$3:$I$39,8,0))=TRUE, 0, VLOOKUP(D158,'4-Investimento-Custeio'!$B$3:$I$39,8,0))</f>
        <v>0</v>
      </c>
      <c r="P158" s="319">
        <v>0</v>
      </c>
      <c r="Q158" s="153" t="str">
        <f t="shared" si="20"/>
        <v>Não Iniciado</v>
      </c>
      <c r="R158" s="320">
        <f t="shared" si="21"/>
        <v>0</v>
      </c>
      <c r="S158" s="153"/>
      <c r="T158" s="275">
        <v>60</v>
      </c>
      <c r="U158" s="218"/>
    </row>
    <row r="159" spans="1:21" s="221" customFormat="1" ht="50.1" customHeight="1" x14ac:dyDescent="0.25">
      <c r="A159" s="314" t="s">
        <v>83</v>
      </c>
      <c r="B159" s="344" t="str">
        <f>VLOOKUP(A159,'2-Inventário de Necessidades'!$A$2:$B$63,2,0)</f>
        <v>GOVERNANÇA E GESTÃO DE TI</v>
      </c>
      <c r="C159" s="344" t="str">
        <f>VLOOKUP(A159,'2-Inventário de Necessidades'!$A$2:$C$63,3,0)</f>
        <v>Implantação da Gestão de Segurança da Informação</v>
      </c>
      <c r="D159" s="315" t="s">
        <v>995</v>
      </c>
      <c r="E159" s="316" t="s">
        <v>87</v>
      </c>
      <c r="F159" s="317" t="s">
        <v>220</v>
      </c>
      <c r="G159" s="318">
        <v>3</v>
      </c>
      <c r="H159" s="318" t="str">
        <f t="shared" si="23"/>
        <v>5 meses</v>
      </c>
      <c r="I159" s="267">
        <f>VLOOKUP($D159,'REVISÃO 2017-1 - PRIORIZAÇÃO'!$D$3:$O$95,11,0)</f>
        <v>42948</v>
      </c>
      <c r="J159" s="267">
        <f>VLOOKUP($D159,'REVISÃO 2017-1 - PRIORIZAÇÃO'!$D$3:$O$95,12,0)</f>
        <v>43070</v>
      </c>
      <c r="K159" s="267"/>
      <c r="L159" s="267"/>
      <c r="M159" s="452" t="str">
        <f t="shared" ca="1" si="19"/>
        <v>-</v>
      </c>
      <c r="N159" s="318" t="s">
        <v>295</v>
      </c>
      <c r="O159" s="445">
        <f>IF(ISERROR(VLOOKUP(D159,'4-Investimento-Custeio'!$B$3:$I$39,8,0))=TRUE, 0, VLOOKUP(D159,'4-Investimento-Custeio'!$B$3:$I$39,8,0))</f>
        <v>0</v>
      </c>
      <c r="P159" s="319">
        <v>0</v>
      </c>
      <c r="Q159" s="153" t="str">
        <f t="shared" si="20"/>
        <v>Não Iniciado</v>
      </c>
      <c r="R159" s="320">
        <f t="shared" si="21"/>
        <v>0</v>
      </c>
      <c r="S159" s="153"/>
      <c r="T159" s="275">
        <v>61</v>
      </c>
      <c r="U159" s="218"/>
    </row>
    <row r="160" spans="1:21" s="221" customFormat="1" ht="50.1" customHeight="1" x14ac:dyDescent="0.25">
      <c r="A160" s="314" t="s">
        <v>83</v>
      </c>
      <c r="B160" s="344" t="str">
        <f>VLOOKUP(A160,'2-Inventário de Necessidades'!$A$2:$B$63,2,0)</f>
        <v>GOVERNANÇA E GESTÃO DE TI</v>
      </c>
      <c r="C160" s="344" t="str">
        <f>VLOOKUP(A160,'2-Inventário de Necessidades'!$A$2:$C$63,3,0)</f>
        <v>Implantação da Gestão de Segurança da Informação</v>
      </c>
      <c r="D160" s="315" t="s">
        <v>1042</v>
      </c>
      <c r="E160" s="316" t="s">
        <v>88</v>
      </c>
      <c r="F160" s="317" t="s">
        <v>220</v>
      </c>
      <c r="G160" s="318">
        <v>3</v>
      </c>
      <c r="H160" s="318" t="str">
        <f t="shared" si="23"/>
        <v>5 meses</v>
      </c>
      <c r="I160" s="267">
        <f>VLOOKUP($D160,'REVISÃO 2017-1 - PRIORIZAÇÃO'!$D$3:$O$95,11,0)</f>
        <v>42948</v>
      </c>
      <c r="J160" s="267">
        <f>VLOOKUP($D160,'REVISÃO 2017-1 - PRIORIZAÇÃO'!$D$3:$O$95,12,0)</f>
        <v>43070</v>
      </c>
      <c r="K160" s="267"/>
      <c r="L160" s="267"/>
      <c r="M160" s="452" t="str">
        <f t="shared" ca="1" si="19"/>
        <v>-</v>
      </c>
      <c r="N160" s="318" t="s">
        <v>295</v>
      </c>
      <c r="O160" s="445">
        <f>IF(ISERROR(VLOOKUP(D160,'4-Investimento-Custeio'!$B$3:$I$39,8,0))=TRUE, 0, VLOOKUP(D160,'4-Investimento-Custeio'!$B$3:$I$39,8,0))</f>
        <v>0</v>
      </c>
      <c r="P160" s="319">
        <v>0</v>
      </c>
      <c r="Q160" s="153" t="str">
        <f t="shared" si="20"/>
        <v>Não Iniciado</v>
      </c>
      <c r="R160" s="320">
        <f t="shared" si="21"/>
        <v>0</v>
      </c>
      <c r="S160" s="153"/>
      <c r="T160" s="275">
        <v>62</v>
      </c>
      <c r="U160" s="218"/>
    </row>
    <row r="161" spans="1:21" s="221" customFormat="1" ht="50.1" customHeight="1" x14ac:dyDescent="0.25">
      <c r="A161" s="314" t="s">
        <v>101</v>
      </c>
      <c r="B161" s="344" t="str">
        <f>VLOOKUP(A161,'2-Inventário de Necessidades'!$A$2:$B$63,2,0)</f>
        <v>SISTEMAS DE INFORMAÇÃO</v>
      </c>
      <c r="C161" s="344" t="str">
        <f>VLOOKUP(A161,'2-Inventário de Necessidades'!$A$2:$C$63,3,0)</f>
        <v>Desenvolvimento de solução de gestão educacional corporativa</v>
      </c>
      <c r="D161" s="315" t="s">
        <v>1020</v>
      </c>
      <c r="E161" s="316" t="s">
        <v>103</v>
      </c>
      <c r="F161" s="317" t="s">
        <v>380</v>
      </c>
      <c r="G161" s="318">
        <v>1</v>
      </c>
      <c r="H161" s="318" t="str">
        <f t="shared" si="23"/>
        <v>12 meses</v>
      </c>
      <c r="I161" s="267">
        <f>VLOOKUP($D161,'REVISÃO 2017-1 - PRIORIZAÇÃO'!$D$2:$O$95,11,0)</f>
        <v>43101</v>
      </c>
      <c r="J161" s="267">
        <f>VLOOKUP($D161,'REVISÃO 2017-1 - PRIORIZAÇÃO'!$D$2:$O$95,12,0)</f>
        <v>43435</v>
      </c>
      <c r="K161" s="267"/>
      <c r="L161" s="267"/>
      <c r="M161" s="452" t="str">
        <f t="shared" ca="1" si="19"/>
        <v>-</v>
      </c>
      <c r="N161" s="318" t="s">
        <v>841</v>
      </c>
      <c r="O161" s="445">
        <f>IF(ISERROR(VLOOKUP(D161,'4-Investimento-Custeio'!$B$3:$I$39,8,0))=TRUE, 0, VLOOKUP(D161,'4-Investimento-Custeio'!$B$3:$I$39,8,0))</f>
        <v>0</v>
      </c>
      <c r="P161" s="319">
        <v>0</v>
      </c>
      <c r="Q161" s="153" t="str">
        <f t="shared" si="20"/>
        <v>Não Iniciado</v>
      </c>
      <c r="R161" s="320">
        <f t="shared" si="21"/>
        <v>0</v>
      </c>
      <c r="S161" s="153"/>
      <c r="T161" s="275">
        <v>78</v>
      </c>
      <c r="U161" s="218"/>
    </row>
    <row r="162" spans="1:21" s="221" customFormat="1" ht="50.1" customHeight="1" x14ac:dyDescent="0.25">
      <c r="A162" s="314" t="s">
        <v>127</v>
      </c>
      <c r="B162" s="344" t="str">
        <f>VLOOKUP(A162,'2-Inventário de Necessidades'!$A$2:$B$63,2,0)</f>
        <v>GOVERNANÇA E GESTÃO DE TI</v>
      </c>
      <c r="C162" s="344" t="str">
        <f>VLOOKUP(A162,'2-Inventário de Necessidades'!$A$2:$C$63,3,0)</f>
        <v>Elaboração de instrumento de planejamento de TI 2018-2019</v>
      </c>
      <c r="D162" s="315" t="s">
        <v>1047</v>
      </c>
      <c r="E162" s="316" t="s">
        <v>129</v>
      </c>
      <c r="F162" s="317" t="s">
        <v>220</v>
      </c>
      <c r="G162" s="318">
        <v>2</v>
      </c>
      <c r="H162" s="318" t="str">
        <f t="shared" si="23"/>
        <v>5 meses</v>
      </c>
      <c r="I162" s="267">
        <f>VLOOKUP($D162,'REVISÃO 2017-1 - PRIORIZAÇÃO'!$D$2:$O$95,11,0)</f>
        <v>43313</v>
      </c>
      <c r="J162" s="267">
        <f>VLOOKUP($D162,'REVISÃO 2017-1 - PRIORIZAÇÃO'!$D$2:$O$95,12,0)</f>
        <v>43435</v>
      </c>
      <c r="K162" s="267"/>
      <c r="L162" s="267"/>
      <c r="M162" s="452" t="str">
        <f t="shared" ca="1" si="19"/>
        <v>-</v>
      </c>
      <c r="N162" s="318" t="s">
        <v>295</v>
      </c>
      <c r="O162" s="445">
        <f>IF(ISERROR(VLOOKUP(D162,'4-Investimento-Custeio'!$B$3:$I$39,8,0))=TRUE, 0, VLOOKUP(D162,'4-Investimento-Custeio'!$B$3:$I$39,8,0))</f>
        <v>0</v>
      </c>
      <c r="P162" s="319">
        <v>0</v>
      </c>
      <c r="Q162" s="153" t="str">
        <f t="shared" si="20"/>
        <v>Não Iniciado</v>
      </c>
      <c r="R162" s="320">
        <f t="shared" si="21"/>
        <v>0</v>
      </c>
      <c r="S162" s="153"/>
      <c r="T162" s="275">
        <v>98</v>
      </c>
      <c r="U162" s="218"/>
    </row>
    <row r="163" spans="1:21" s="221" customFormat="1" ht="50.1" customHeight="1" x14ac:dyDescent="0.25">
      <c r="A163" s="314" t="s">
        <v>127</v>
      </c>
      <c r="B163" s="344" t="str">
        <f>VLOOKUP(A163,'2-Inventário de Necessidades'!$A$2:$B$63,2,0)</f>
        <v>GOVERNANÇA E GESTÃO DE TI</v>
      </c>
      <c r="C163" s="344" t="str">
        <f>VLOOKUP(A163,'2-Inventário de Necessidades'!$A$2:$C$63,3,0)</f>
        <v>Elaboração de instrumento de planejamento de TI 2018-2019</v>
      </c>
      <c r="D163" s="315" t="s">
        <v>985</v>
      </c>
      <c r="E163" s="316" t="s">
        <v>826</v>
      </c>
      <c r="F163" s="317" t="s">
        <v>376</v>
      </c>
      <c r="G163" s="318">
        <v>1</v>
      </c>
      <c r="H163" s="318" t="str">
        <f t="shared" si="23"/>
        <v>2 a 3 meses</v>
      </c>
      <c r="I163" s="267">
        <f>VLOOKUP($D163,'REVISÃO 2017-1 - PRIORIZAÇÃO'!$D$2:$O$95,11,0)</f>
        <v>43435</v>
      </c>
      <c r="J163" s="267">
        <f>VLOOKUP($D163,'REVISÃO 2017-1 - PRIORIZAÇÃO'!$D$2:$O$95,12,0)</f>
        <v>43435</v>
      </c>
      <c r="K163" s="267"/>
      <c r="L163" s="267"/>
      <c r="M163" s="452" t="str">
        <f t="shared" ref="M163:M171" ca="1" si="24">IF(K163="", "-",CONCATENATE(ROUNDUP(SUM(((IF(L163="",TODAY(),L163))-K163)/30),0)," meses"))</f>
        <v>-</v>
      </c>
      <c r="N163" s="318" t="s">
        <v>295</v>
      </c>
      <c r="O163" s="445">
        <f>IF(ISERROR(VLOOKUP(D163,'4-Investimento-Custeio'!$B$3:$I$39,8,0))=TRUE, 0, VLOOKUP(D163,'4-Investimento-Custeio'!$B$3:$I$39,8,0))</f>
        <v>0</v>
      </c>
      <c r="P163" s="319">
        <v>0</v>
      </c>
      <c r="Q163" s="153" t="str">
        <f t="shared" ref="Q163:Q171" si="25">IF(K163="","Não Iniciado",IF(L163="","Em andamento","Concluído"))</f>
        <v>Não Iniciado</v>
      </c>
      <c r="R163" s="320">
        <f t="shared" ref="R163:R171" si="26">IF(L163="",0,1)</f>
        <v>0</v>
      </c>
      <c r="S163" s="153"/>
      <c r="T163" s="275">
        <v>99</v>
      </c>
      <c r="U163" s="218"/>
    </row>
    <row r="164" spans="1:21" s="221" customFormat="1" ht="50.1" customHeight="1" x14ac:dyDescent="0.25">
      <c r="A164" s="314" t="s">
        <v>145</v>
      </c>
      <c r="B164" s="344" t="str">
        <f>VLOOKUP(A164,'2-Inventário de Necessidades'!$A$2:$B$63,2,0)</f>
        <v>SISTEMAS DE INFORMAÇÃO</v>
      </c>
      <c r="C164" s="344" t="str">
        <f>VLOOKUP(A164,'2-Inventário de Necessidades'!$A$2:$C$63,3,0)</f>
        <v>Aquisição de softwares aplicativos</v>
      </c>
      <c r="D164" s="321" t="s">
        <v>158</v>
      </c>
      <c r="E164" s="316" t="s">
        <v>159</v>
      </c>
      <c r="F164" s="317" t="s">
        <v>220</v>
      </c>
      <c r="G164" s="318">
        <v>3</v>
      </c>
      <c r="H164" s="318" t="str">
        <f t="shared" si="23"/>
        <v>12 meses</v>
      </c>
      <c r="I164" s="267">
        <f>VLOOKUP($D164,'REVISÃO 2017-1 - PRIORIZAÇÃO'!$D$2:$O$95,11,0)</f>
        <v>43101</v>
      </c>
      <c r="J164" s="267">
        <f>VLOOKUP($D164,'REVISÃO 2017-1 - PRIORIZAÇÃO'!$D$2:$O$95,12,0)</f>
        <v>43435</v>
      </c>
      <c r="K164" s="267"/>
      <c r="L164" s="267"/>
      <c r="M164" s="452" t="str">
        <f t="shared" ca="1" si="24"/>
        <v>-</v>
      </c>
      <c r="N164" s="318" t="s">
        <v>296</v>
      </c>
      <c r="O164" s="445">
        <f>IF(ISERROR(VLOOKUP(D164,'4-Investimento-Custeio'!$B$3:$I$39,8,0))=TRUE, 0, VLOOKUP(D164,'4-Investimento-Custeio'!$B$3:$I$39,8,0))</f>
        <v>10000</v>
      </c>
      <c r="P164" s="319">
        <v>0</v>
      </c>
      <c r="Q164" s="153" t="str">
        <f t="shared" si="25"/>
        <v>Não Iniciado</v>
      </c>
      <c r="R164" s="320">
        <f t="shared" si="26"/>
        <v>0</v>
      </c>
      <c r="S164" s="153"/>
      <c r="T164" s="275">
        <v>113</v>
      </c>
      <c r="U164" s="218"/>
    </row>
    <row r="165" spans="1:21" s="221" customFormat="1" ht="50.1" customHeight="1" x14ac:dyDescent="0.25">
      <c r="A165" s="314" t="s">
        <v>145</v>
      </c>
      <c r="B165" s="344" t="str">
        <f>VLOOKUP(A165,'2-Inventário de Necessidades'!$A$2:$B$63,2,0)</f>
        <v>SISTEMAS DE INFORMAÇÃO</v>
      </c>
      <c r="C165" s="344" t="str">
        <f>VLOOKUP(A165,'2-Inventário de Necessidades'!$A$2:$C$63,3,0)</f>
        <v>Aquisição de softwares aplicativos</v>
      </c>
      <c r="D165" s="321" t="s">
        <v>160</v>
      </c>
      <c r="E165" s="316" t="s">
        <v>161</v>
      </c>
      <c r="F165" s="317" t="s">
        <v>220</v>
      </c>
      <c r="G165" s="318">
        <v>1</v>
      </c>
      <c r="H165" s="318" t="str">
        <f t="shared" si="23"/>
        <v>12 meses</v>
      </c>
      <c r="I165" s="267">
        <f>VLOOKUP($D165,'REVISÃO 2017-1 - PRIORIZAÇÃO'!$D$2:$O$95,11,0)</f>
        <v>43101</v>
      </c>
      <c r="J165" s="267">
        <f>VLOOKUP($D165,'REVISÃO 2017-1 - PRIORIZAÇÃO'!$D$2:$O$95,12,0)</f>
        <v>43435</v>
      </c>
      <c r="K165" s="267"/>
      <c r="L165" s="267"/>
      <c r="M165" s="452" t="str">
        <f t="shared" ca="1" si="24"/>
        <v>-</v>
      </c>
      <c r="N165" s="318" t="s">
        <v>296</v>
      </c>
      <c r="O165" s="445">
        <f>IF(ISERROR(VLOOKUP(D165,'4-Investimento-Custeio'!$B$3:$I$39,8,0))=TRUE, 0, VLOOKUP(D165,'4-Investimento-Custeio'!$B$3:$I$39,8,0))</f>
        <v>10000</v>
      </c>
      <c r="P165" s="319">
        <v>0</v>
      </c>
      <c r="Q165" s="153" t="str">
        <f t="shared" si="25"/>
        <v>Não Iniciado</v>
      </c>
      <c r="R165" s="320">
        <f t="shared" si="26"/>
        <v>0</v>
      </c>
      <c r="S165" s="153"/>
      <c r="T165" s="275">
        <v>114</v>
      </c>
      <c r="U165" s="218"/>
    </row>
    <row r="166" spans="1:21" s="221" customFormat="1" ht="50.1" customHeight="1" x14ac:dyDescent="0.25">
      <c r="A166" s="314" t="s">
        <v>145</v>
      </c>
      <c r="B166" s="344" t="str">
        <f>VLOOKUP(A166,'2-Inventário de Necessidades'!$A$2:$B$63,2,0)</f>
        <v>SISTEMAS DE INFORMAÇÃO</v>
      </c>
      <c r="C166" s="344" t="str">
        <f>VLOOKUP(A166,'2-Inventário de Necessidades'!$A$2:$C$63,3,0)</f>
        <v>Aquisição de softwares aplicativos</v>
      </c>
      <c r="D166" s="315" t="s">
        <v>840</v>
      </c>
      <c r="E166" s="316" t="s">
        <v>848</v>
      </c>
      <c r="F166" s="317" t="s">
        <v>220</v>
      </c>
      <c r="G166" s="318">
        <v>1</v>
      </c>
      <c r="H166" s="318" t="str">
        <f t="shared" si="23"/>
        <v>5 meses</v>
      </c>
      <c r="I166" s="267">
        <f>VLOOKUP($D166,'REVISÃO 2017-1 - PRIORIZAÇÃO'!$D$2:$O$95,11,0)</f>
        <v>43313</v>
      </c>
      <c r="J166" s="267">
        <f>VLOOKUP($D166,'REVISÃO 2017-1 - PRIORIZAÇÃO'!$D$2:$O$95,12,0)</f>
        <v>43435</v>
      </c>
      <c r="K166" s="267"/>
      <c r="L166" s="267"/>
      <c r="M166" s="452" t="str">
        <f t="shared" ca="1" si="24"/>
        <v>-</v>
      </c>
      <c r="N166" s="318" t="s">
        <v>296</v>
      </c>
      <c r="O166" s="445">
        <f>IF(ISERROR(VLOOKUP(D166,'4-Investimento-Custeio'!$B$3:$I$39,8,0))=TRUE, 0, VLOOKUP(D166,'4-Investimento-Custeio'!$B$3:$I$39,8,0))</f>
        <v>45000</v>
      </c>
      <c r="P166" s="319">
        <v>0</v>
      </c>
      <c r="Q166" s="153" t="str">
        <f t="shared" si="25"/>
        <v>Não Iniciado</v>
      </c>
      <c r="R166" s="320">
        <f t="shared" si="26"/>
        <v>0</v>
      </c>
      <c r="S166" s="153"/>
      <c r="T166" s="275">
        <v>117</v>
      </c>
      <c r="U166" s="218"/>
    </row>
    <row r="167" spans="1:21" s="221" customFormat="1" ht="50.1" customHeight="1" x14ac:dyDescent="0.25">
      <c r="A167" s="314" t="s">
        <v>167</v>
      </c>
      <c r="B167" s="344" t="str">
        <f>VLOOKUP(A167,'2-Inventário de Necessidades'!$A$2:$B$63,2,0)</f>
        <v>SERVIÇOS DE TI</v>
      </c>
      <c r="C167" s="344" t="str">
        <f>VLOOKUP(A167,'2-Inventário de Necessidades'!$A$2:$C$63,3,0)</f>
        <v>Viabilização de utilização de soluções de armazenamento em nuvem</v>
      </c>
      <c r="D167" s="315" t="s">
        <v>170</v>
      </c>
      <c r="E167" s="316" t="s">
        <v>171</v>
      </c>
      <c r="F167" s="317" t="s">
        <v>220</v>
      </c>
      <c r="G167" s="318">
        <v>1</v>
      </c>
      <c r="H167" s="318" t="str">
        <f t="shared" si="23"/>
        <v>12 meses</v>
      </c>
      <c r="I167" s="267">
        <f>VLOOKUP($D167,'REVISÃO 2017-1 - PRIORIZAÇÃO'!$D$2:$O$95,11,0)</f>
        <v>42736</v>
      </c>
      <c r="J167" s="267">
        <f>VLOOKUP($D167,'REVISÃO 2017-1 - PRIORIZAÇÃO'!$D$2:$O$95,12,0)</f>
        <v>43070</v>
      </c>
      <c r="K167" s="267"/>
      <c r="L167" s="267"/>
      <c r="M167" s="452" t="str">
        <f t="shared" ca="1" si="24"/>
        <v>-</v>
      </c>
      <c r="N167" s="318" t="s">
        <v>296</v>
      </c>
      <c r="O167" s="445">
        <f>IF(ISERROR(VLOOKUP(D167,'4-Investimento-Custeio'!$B$3:$I$39,8,0))=TRUE, 0, VLOOKUP(D167,'4-Investimento-Custeio'!$B$3:$I$39,8,0))</f>
        <v>45000</v>
      </c>
      <c r="P167" s="319">
        <v>0</v>
      </c>
      <c r="Q167" s="153" t="str">
        <f t="shared" si="25"/>
        <v>Não Iniciado</v>
      </c>
      <c r="R167" s="320">
        <f t="shared" si="26"/>
        <v>0</v>
      </c>
      <c r="S167" s="153"/>
      <c r="T167" s="275">
        <v>119</v>
      </c>
      <c r="U167" s="218"/>
    </row>
    <row r="168" spans="1:21" s="221" customFormat="1" ht="50.1" customHeight="1" x14ac:dyDescent="0.25">
      <c r="A168" s="314" t="s">
        <v>183</v>
      </c>
      <c r="B168" s="344" t="str">
        <f>VLOOKUP(A168,'2-Inventário de Necessidades'!$A$2:$B$63,2,0)</f>
        <v>GOVERNANÇA E GESTÃO DE TI</v>
      </c>
      <c r="C168" s="344" t="str">
        <f>VLOOKUP(A168,'2-Inventário de Necessidades'!$A$2:$C$63,3,0)</f>
        <v>Implantação do Gerenciamento de Serviços de TI</v>
      </c>
      <c r="D168" s="315" t="s">
        <v>983</v>
      </c>
      <c r="E168" s="316" t="s">
        <v>187</v>
      </c>
      <c r="F168" s="317" t="s">
        <v>825</v>
      </c>
      <c r="G168" s="318">
        <v>2</v>
      </c>
      <c r="H168" s="318" t="str">
        <f t="shared" si="23"/>
        <v>5 meses</v>
      </c>
      <c r="I168" s="267">
        <f>VLOOKUP($D168,'REVISÃO 2017-1 - PRIORIZAÇÃO'!$D$2:$O$95,11,0)</f>
        <v>43313</v>
      </c>
      <c r="J168" s="267">
        <f>VLOOKUP($D168,'REVISÃO 2017-1 - PRIORIZAÇÃO'!$D$2:$O$95,12,0)</f>
        <v>43435</v>
      </c>
      <c r="K168" s="267"/>
      <c r="L168" s="267"/>
      <c r="M168" s="452" t="str">
        <f t="shared" ca="1" si="24"/>
        <v>-</v>
      </c>
      <c r="N168" s="318" t="s">
        <v>841</v>
      </c>
      <c r="O168" s="445">
        <f>IF(ISERROR(VLOOKUP(D168,'4-Investimento-Custeio'!$B$3:$I$39,8,0))=TRUE, 0, VLOOKUP(D168,'4-Investimento-Custeio'!$B$3:$I$39,8,0))</f>
        <v>0</v>
      </c>
      <c r="P168" s="319">
        <v>0</v>
      </c>
      <c r="Q168" s="153" t="str">
        <f t="shared" si="25"/>
        <v>Não Iniciado</v>
      </c>
      <c r="R168" s="320">
        <f t="shared" si="26"/>
        <v>0</v>
      </c>
      <c r="S168" s="153"/>
      <c r="T168" s="275">
        <v>129</v>
      </c>
      <c r="U168" s="218"/>
    </row>
    <row r="169" spans="1:21" ht="50.1" customHeight="1" x14ac:dyDescent="0.2">
      <c r="A169" s="314" t="s">
        <v>188</v>
      </c>
      <c r="B169" s="344" t="str">
        <f>VLOOKUP(A169,'2-Inventário de Necessidades'!$A$2:$B$63,2,0)</f>
        <v>SISTEMAS DE INFORMAÇÃO</v>
      </c>
      <c r="C169" s="344" t="str">
        <f>VLOOKUP(A169,'2-Inventário de Necessidades'!$A$2:$C$63,3,0)</f>
        <v>Viabilização de solução de gerenciamento de processos organizacionais</v>
      </c>
      <c r="D169" s="315" t="s">
        <v>1083</v>
      </c>
      <c r="E169" s="316" t="s">
        <v>827</v>
      </c>
      <c r="F169" s="317" t="s">
        <v>380</v>
      </c>
      <c r="G169" s="318">
        <v>2</v>
      </c>
      <c r="H169" s="318" t="str">
        <f t="shared" si="23"/>
        <v>12 meses</v>
      </c>
      <c r="I169" s="267">
        <f>VLOOKUP($D169,'REVISÃO 2017-1 - PRIORIZAÇÃO'!$D$2:$O$95,11,0)</f>
        <v>43101</v>
      </c>
      <c r="J169" s="267">
        <f>VLOOKUP($D169,'REVISÃO 2017-1 - PRIORIZAÇÃO'!$D$2:$O$95,12,0)</f>
        <v>43435</v>
      </c>
      <c r="K169" s="267"/>
      <c r="L169" s="267"/>
      <c r="M169" s="452" t="str">
        <f t="shared" ca="1" si="24"/>
        <v>-</v>
      </c>
      <c r="N169" s="318" t="s">
        <v>295</v>
      </c>
      <c r="O169" s="445">
        <f>IF(ISERROR(VLOOKUP(D169,'4-Investimento-Custeio'!$B$3:$I$39,8,0))=TRUE, 0, VLOOKUP(D169,'4-Investimento-Custeio'!$B$3:$I$39,8,0))</f>
        <v>0</v>
      </c>
      <c r="P169" s="319">
        <v>0</v>
      </c>
      <c r="Q169" s="153" t="str">
        <f t="shared" si="25"/>
        <v>Não Iniciado</v>
      </c>
      <c r="R169" s="320">
        <f t="shared" si="26"/>
        <v>0</v>
      </c>
      <c r="S169" s="153"/>
      <c r="T169" s="275">
        <v>130</v>
      </c>
      <c r="U169" s="218"/>
    </row>
    <row r="170" spans="1:21" ht="50.1" customHeight="1" x14ac:dyDescent="0.2">
      <c r="A170" s="314" t="s">
        <v>202</v>
      </c>
      <c r="B170" s="344" t="str">
        <f>VLOOKUP(A170,'2-Inventário de Necessidades'!$A$2:$B$63,2,0)</f>
        <v>SISTEMAS DE INFORMAÇÃO</v>
      </c>
      <c r="C170" s="344" t="str">
        <f>VLOOKUP(A170,'2-Inventário de Necessidades'!$A$2:$C$63,3,0)</f>
        <v>Conclusão da solução GRAC - Registro de atos de concessão</v>
      </c>
      <c r="D170" s="315" t="s">
        <v>1085</v>
      </c>
      <c r="E170" s="316" t="s">
        <v>203</v>
      </c>
      <c r="F170" s="317" t="s">
        <v>380</v>
      </c>
      <c r="G170" s="318">
        <v>2</v>
      </c>
      <c r="H170" s="318" t="str">
        <f t="shared" si="23"/>
        <v>10 meses</v>
      </c>
      <c r="I170" s="267">
        <f>VLOOKUP($D170,'REVISÃO 2017-1 - PRIORIZAÇÃO'!$D$2:$O$95,11,0)</f>
        <v>43101</v>
      </c>
      <c r="J170" s="267">
        <f>VLOOKUP($D170,'REVISÃO 2017-1 - PRIORIZAÇÃO'!$D$2:$O$95,12,0)</f>
        <v>43374</v>
      </c>
      <c r="K170" s="267"/>
      <c r="L170" s="267"/>
      <c r="M170" s="452" t="str">
        <f t="shared" ca="1" si="24"/>
        <v>-</v>
      </c>
      <c r="N170" s="318" t="s">
        <v>841</v>
      </c>
      <c r="O170" s="445">
        <f>IF(ISERROR(VLOOKUP(D170,'4-Investimento-Custeio'!$B$3:$I$39,8,0))=TRUE, 0, VLOOKUP(D170,'4-Investimento-Custeio'!$B$3:$I$39,8,0))</f>
        <v>0</v>
      </c>
      <c r="P170" s="319">
        <v>0</v>
      </c>
      <c r="Q170" s="153" t="str">
        <f t="shared" si="25"/>
        <v>Não Iniciado</v>
      </c>
      <c r="R170" s="320">
        <f t="shared" si="26"/>
        <v>0</v>
      </c>
      <c r="S170" s="153"/>
      <c r="T170" s="275">
        <v>138</v>
      </c>
      <c r="U170" s="218"/>
    </row>
    <row r="171" spans="1:21" s="221" customFormat="1" ht="50.1" customHeight="1" x14ac:dyDescent="0.25">
      <c r="A171" s="314" t="s">
        <v>912</v>
      </c>
      <c r="B171" s="344" t="str">
        <f>VLOOKUP(A171,'2-Inventário de Necessidades'!$A$2:$B$63,2,0)</f>
        <v>SISTEMAS DE INFORMAÇÃO</v>
      </c>
      <c r="C171" s="344" t="str">
        <f>VLOOKUP(A171,'2-Inventário de Necessidades'!$A$2:$C$63,3,0)</f>
        <v>Prover solução para gestão de convênios (MMD)</v>
      </c>
      <c r="D171" s="315" t="s">
        <v>1078</v>
      </c>
      <c r="E171" s="316" t="s">
        <v>915</v>
      </c>
      <c r="F171" s="317" t="s">
        <v>380</v>
      </c>
      <c r="G171" s="318">
        <v>2</v>
      </c>
      <c r="H171" s="318" t="str">
        <f t="shared" si="23"/>
        <v>3 meses</v>
      </c>
      <c r="I171" s="267">
        <f>VLOOKUP($D171,'REVISÃO 2017-1 - PRIORIZAÇÃO'!$D$2:$O$95,11,0)</f>
        <v>43344</v>
      </c>
      <c r="J171" s="267">
        <f>VLOOKUP($D171,'REVISÃO 2017-1 - PRIORIZAÇÃO'!$D$2:$O$95,12,0)</f>
        <v>43405</v>
      </c>
      <c r="K171" s="267"/>
      <c r="L171" s="267"/>
      <c r="M171" s="452" t="str">
        <f t="shared" ca="1" si="24"/>
        <v>-</v>
      </c>
      <c r="N171" s="318" t="s">
        <v>841</v>
      </c>
      <c r="O171" s="445">
        <f>IF(ISERROR(VLOOKUP(D171,'4-Investimento-Custeio'!$B$3:$I$39,8,0))=TRUE, 0, VLOOKUP(D171,'4-Investimento-Custeio'!$B$3:$I$39,8,0))</f>
        <v>0</v>
      </c>
      <c r="P171" s="319">
        <v>0</v>
      </c>
      <c r="Q171" s="153" t="str">
        <f t="shared" si="25"/>
        <v>Não Iniciado</v>
      </c>
      <c r="R171" s="320">
        <f t="shared" si="26"/>
        <v>0</v>
      </c>
      <c r="S171" s="153"/>
      <c r="T171" s="275">
        <v>163</v>
      </c>
      <c r="U171" s="218"/>
    </row>
    <row r="172" spans="1:21" s="221" customFormat="1" ht="25.5" customHeight="1" x14ac:dyDescent="0.25">
      <c r="A172" s="248"/>
      <c r="B172" s="249"/>
      <c r="C172" s="249"/>
      <c r="D172" s="250"/>
      <c r="E172" s="251"/>
      <c r="F172" s="252"/>
      <c r="G172" s="253"/>
      <c r="H172" s="254"/>
      <c r="I172" s="255"/>
      <c r="J172" s="255"/>
      <c r="K172" s="255"/>
      <c r="L172" s="255"/>
      <c r="M172" s="253"/>
      <c r="N172" s="253"/>
      <c r="O172" s="446"/>
      <c r="P172" s="256"/>
      <c r="Q172" s="191"/>
      <c r="R172" s="257"/>
      <c r="S172" s="191"/>
      <c r="T172" s="258"/>
      <c r="U172" s="216"/>
    </row>
    <row r="173" spans="1:21" s="221" customFormat="1" ht="25.5" customHeight="1" x14ac:dyDescent="0.25">
      <c r="A173" s="248"/>
      <c r="B173" s="249"/>
      <c r="C173" s="249"/>
      <c r="D173" s="250"/>
      <c r="E173" s="251"/>
      <c r="F173" s="252"/>
      <c r="G173" s="253"/>
      <c r="H173" s="254"/>
      <c r="I173" s="255"/>
      <c r="J173" s="255"/>
      <c r="K173" s="255"/>
      <c r="L173" s="255"/>
      <c r="M173" s="253"/>
      <c r="N173" s="253"/>
      <c r="O173" s="446"/>
      <c r="P173" s="256"/>
      <c r="Q173" s="191"/>
      <c r="R173" s="257"/>
      <c r="S173" s="191"/>
      <c r="T173" s="258"/>
      <c r="U173" s="216"/>
    </row>
    <row r="174" spans="1:21" s="221" customFormat="1" ht="25.5" customHeight="1" thickBot="1" x14ac:dyDescent="0.3">
      <c r="A174" s="248"/>
      <c r="B174" s="262" t="s">
        <v>856</v>
      </c>
      <c r="C174" s="262" t="s">
        <v>378</v>
      </c>
      <c r="D174" s="262" t="s">
        <v>370</v>
      </c>
      <c r="E174" s="262" t="s">
        <v>369</v>
      </c>
      <c r="F174" s="300" t="s">
        <v>833</v>
      </c>
      <c r="G174" s="301" t="s">
        <v>372</v>
      </c>
      <c r="H174" s="300" t="s">
        <v>373</v>
      </c>
      <c r="I174" s="263" t="s">
        <v>1097</v>
      </c>
      <c r="J174" s="255"/>
      <c r="K174" s="255"/>
      <c r="L174" s="255"/>
      <c r="M174" s="253"/>
      <c r="N174" s="253"/>
      <c r="O174" s="446"/>
      <c r="P174" s="256"/>
      <c r="Q174" s="191"/>
      <c r="R174" s="257"/>
      <c r="S174" s="191"/>
      <c r="T174" s="258"/>
      <c r="U174" s="216"/>
    </row>
    <row r="175" spans="1:21" s="221" customFormat="1" ht="50.1" customHeight="1" thickBot="1" x14ac:dyDescent="0.25">
      <c r="A175" s="115"/>
      <c r="B175" s="185" t="s">
        <v>55</v>
      </c>
      <c r="C175" s="349">
        <f>COUNTIF($B$3:$B$171,B175)</f>
        <v>3</v>
      </c>
      <c r="D175" s="350">
        <f>'2-Inventário de Necessidades'!D69</f>
        <v>1</v>
      </c>
      <c r="E175" s="347">
        <f>C175*D175</f>
        <v>3</v>
      </c>
      <c r="F175" s="347">
        <f>COUNTIFS($B$3:$B$171,B175,$Q$3:$Q$171,"Em andamento")</f>
        <v>1</v>
      </c>
      <c r="G175" s="348">
        <f t="shared" ref="G175:G180" si="27">F175/C175</f>
        <v>0.33333333333333331</v>
      </c>
      <c r="H175" s="347">
        <f>COUNTIFS($B$3:$B$171,B175,$R$3:$R$171,1)</f>
        <v>1</v>
      </c>
      <c r="I175" s="348">
        <f>H175/C175</f>
        <v>0.33333333333333331</v>
      </c>
      <c r="J175" s="88"/>
      <c r="K175" s="87"/>
      <c r="L175" s="89"/>
      <c r="M175" s="89"/>
      <c r="N175" s="455"/>
      <c r="O175" s="273"/>
      <c r="P175" s="128"/>
      <c r="Q175" s="117"/>
      <c r="R175" s="236"/>
      <c r="S175" s="127"/>
      <c r="T175" s="238"/>
      <c r="U175" s="216"/>
    </row>
    <row r="176" spans="1:21" s="221" customFormat="1" ht="50.1" customHeight="1" thickBot="1" x14ac:dyDescent="0.25">
      <c r="A176" s="115"/>
      <c r="B176" s="185" t="s">
        <v>16</v>
      </c>
      <c r="C176" s="349">
        <f t="shared" ref="C176:C179" si="28">COUNTIF($B$3:$B$171,B176)</f>
        <v>83</v>
      </c>
      <c r="D176" s="350">
        <f>'2-Inventário de Necessidades'!D66</f>
        <v>0.7</v>
      </c>
      <c r="E176" s="347">
        <f>C176*D176</f>
        <v>58.099999999999994</v>
      </c>
      <c r="F176" s="347">
        <f t="shared" ref="F176:F179" si="29">COUNTIFS($B$3:$B$171,B176,$Q$3:$Q$171,"Em andamento")</f>
        <v>14</v>
      </c>
      <c r="G176" s="348">
        <f t="shared" si="27"/>
        <v>0.16867469879518071</v>
      </c>
      <c r="H176" s="347">
        <f t="shared" ref="H176:H179" si="30">COUNTIFS($B$3:$B$171,B176,$R$3:$R$171,1)</f>
        <v>48</v>
      </c>
      <c r="I176" s="348">
        <f t="shared" ref="I176:I180" si="31">H176/C176</f>
        <v>0.57831325301204817</v>
      </c>
      <c r="J176" s="88"/>
      <c r="K176" s="87"/>
      <c r="L176" s="89"/>
      <c r="M176" s="89"/>
      <c r="N176" s="455"/>
      <c r="O176" s="273"/>
      <c r="P176" s="128"/>
      <c r="Q176" s="117"/>
      <c r="R176" s="236"/>
      <c r="S176" s="127"/>
      <c r="T176" s="238"/>
      <c r="U176" s="216"/>
    </row>
    <row r="177" spans="1:21" s="108" customFormat="1" ht="50.1" customHeight="1" thickBot="1" x14ac:dyDescent="0.25">
      <c r="A177" s="115"/>
      <c r="B177" s="185" t="s">
        <v>48</v>
      </c>
      <c r="C177" s="349">
        <f t="shared" si="28"/>
        <v>31</v>
      </c>
      <c r="D177" s="350">
        <f>'2-Inventário de Necessidades'!D67</f>
        <v>0.7</v>
      </c>
      <c r="E177" s="347">
        <f>C177*D177</f>
        <v>21.7</v>
      </c>
      <c r="F177" s="347">
        <f t="shared" si="29"/>
        <v>12</v>
      </c>
      <c r="G177" s="348">
        <f t="shared" si="27"/>
        <v>0.38709677419354838</v>
      </c>
      <c r="H177" s="347">
        <f t="shared" si="30"/>
        <v>10</v>
      </c>
      <c r="I177" s="348">
        <f t="shared" si="31"/>
        <v>0.32258064516129031</v>
      </c>
      <c r="J177" s="88"/>
      <c r="K177" s="87"/>
      <c r="L177" s="89"/>
      <c r="M177" s="89"/>
      <c r="N177" s="455"/>
      <c r="O177" s="273"/>
      <c r="P177" s="128"/>
      <c r="Q177" s="117"/>
      <c r="R177" s="236"/>
      <c r="S177" s="127"/>
      <c r="T177" s="238"/>
      <c r="U177" s="216"/>
    </row>
    <row r="178" spans="1:21" s="94" customFormat="1" ht="50.1" customHeight="1" thickBot="1" x14ac:dyDescent="0.25">
      <c r="A178" s="115"/>
      <c r="B178" s="185" t="s">
        <v>21</v>
      </c>
      <c r="C178" s="349">
        <f t="shared" si="28"/>
        <v>28</v>
      </c>
      <c r="D178" s="350">
        <f>'2-Inventário de Necessidades'!D70</f>
        <v>0.9</v>
      </c>
      <c r="E178" s="347">
        <f>C178*D178</f>
        <v>25.2</v>
      </c>
      <c r="F178" s="347">
        <f t="shared" si="29"/>
        <v>6</v>
      </c>
      <c r="G178" s="348">
        <f t="shared" si="27"/>
        <v>0.21428571428571427</v>
      </c>
      <c r="H178" s="347">
        <f t="shared" si="30"/>
        <v>20</v>
      </c>
      <c r="I178" s="348">
        <f t="shared" si="31"/>
        <v>0.7142857142857143</v>
      </c>
      <c r="J178" s="88"/>
      <c r="K178" s="87"/>
      <c r="L178" s="89"/>
      <c r="M178" s="89"/>
      <c r="N178" s="455"/>
      <c r="O178" s="463" t="s">
        <v>1111</v>
      </c>
      <c r="P178" s="272" t="s">
        <v>1112</v>
      </c>
      <c r="Q178" s="117"/>
      <c r="R178" s="236"/>
      <c r="S178" s="127"/>
      <c r="T178" s="238"/>
      <c r="U178" s="217"/>
    </row>
    <row r="179" spans="1:21" ht="50.1" customHeight="1" thickBot="1" x14ac:dyDescent="0.25">
      <c r="A179" s="115"/>
      <c r="B179" s="185" t="s">
        <v>33</v>
      </c>
      <c r="C179" s="349">
        <f t="shared" si="28"/>
        <v>24</v>
      </c>
      <c r="D179" s="350">
        <f>'2-Inventário de Necessidades'!D68</f>
        <v>0.9</v>
      </c>
      <c r="E179" s="347">
        <f>C179*D179</f>
        <v>21.6</v>
      </c>
      <c r="F179" s="347">
        <f t="shared" si="29"/>
        <v>1</v>
      </c>
      <c r="G179" s="348">
        <f t="shared" si="27"/>
        <v>4.1666666666666664E-2</v>
      </c>
      <c r="H179" s="347">
        <f t="shared" si="30"/>
        <v>21</v>
      </c>
      <c r="I179" s="348">
        <f t="shared" si="31"/>
        <v>0.875</v>
      </c>
      <c r="J179" s="88"/>
      <c r="K179" s="87"/>
      <c r="L179" s="89"/>
      <c r="M179" s="89"/>
      <c r="N179" s="466" t="s">
        <v>854</v>
      </c>
      <c r="O179" s="465">
        <f>SUM(O3:O171)</f>
        <v>15669271.15</v>
      </c>
      <c r="P179" s="464">
        <f>SUM(P3:P171)</f>
        <v>7387647.2300000004</v>
      </c>
      <c r="Q179" s="117"/>
      <c r="R179" s="236"/>
      <c r="S179" s="127"/>
      <c r="T179" s="238"/>
      <c r="U179" s="217"/>
    </row>
    <row r="180" spans="1:21" ht="50.1" customHeight="1" x14ac:dyDescent="0.2">
      <c r="A180" s="95"/>
      <c r="B180" s="353" t="s">
        <v>301</v>
      </c>
      <c r="C180" s="351">
        <f>SUM(C175:C179)</f>
        <v>169</v>
      </c>
      <c r="D180" s="352">
        <f>E180/C180</f>
        <v>0.7668639053254438</v>
      </c>
      <c r="E180" s="261">
        <f>SUM(E171:E179)</f>
        <v>129.6</v>
      </c>
      <c r="F180" s="261">
        <f>SUM(F175:F179)</f>
        <v>34</v>
      </c>
      <c r="G180" s="352">
        <f t="shared" si="27"/>
        <v>0.20118343195266272</v>
      </c>
      <c r="H180" s="261">
        <f>SUM(H175:H179)</f>
        <v>100</v>
      </c>
      <c r="I180" s="352">
        <f t="shared" si="31"/>
        <v>0.59171597633136097</v>
      </c>
      <c r="J180" s="96"/>
      <c r="K180" s="96"/>
      <c r="L180" s="96"/>
      <c r="M180" s="97"/>
      <c r="N180" s="456"/>
      <c r="O180" s="438" t="s">
        <v>1402</v>
      </c>
      <c r="P180" s="462">
        <v>6195177.1900000004</v>
      </c>
      <c r="Q180" s="191"/>
      <c r="R180" s="238"/>
      <c r="S180" s="233"/>
      <c r="T180" s="248"/>
    </row>
    <row r="181" spans="1:21" ht="49.5" customHeight="1" thickBot="1" x14ac:dyDescent="0.25">
      <c r="A181" s="269"/>
      <c r="B181" s="187"/>
      <c r="C181" s="188"/>
      <c r="D181" s="90"/>
      <c r="E181" s="87"/>
      <c r="F181" s="128"/>
      <c r="G181" s="278"/>
      <c r="H181" s="242"/>
      <c r="I181" s="87"/>
      <c r="J181" s="87"/>
      <c r="K181" s="87"/>
      <c r="L181" s="87"/>
      <c r="M181" s="89"/>
      <c r="N181" s="457"/>
      <c r="O181" s="438" t="s">
        <v>1403</v>
      </c>
      <c r="P181" s="462">
        <v>7427429.1900000004</v>
      </c>
      <c r="Q181" s="460"/>
      <c r="T181" s="236"/>
    </row>
    <row r="182" spans="1:21" ht="50.1" customHeight="1" thickBot="1" x14ac:dyDescent="0.25">
      <c r="A182" s="117"/>
      <c r="B182" s="98" t="s">
        <v>832</v>
      </c>
      <c r="C182" s="98" t="s">
        <v>378</v>
      </c>
      <c r="D182" s="98" t="s">
        <v>1113</v>
      </c>
      <c r="E182" s="108"/>
      <c r="F182" s="120"/>
      <c r="G182" s="279"/>
      <c r="H182" s="243"/>
      <c r="I182" s="108"/>
      <c r="J182" s="108"/>
      <c r="K182" s="108"/>
      <c r="L182" s="108"/>
      <c r="M182" s="109"/>
      <c r="N182" s="458"/>
      <c r="O182" s="438" t="s">
        <v>1404</v>
      </c>
      <c r="P182" s="462">
        <v>1881218.04</v>
      </c>
      <c r="Q182" s="168"/>
      <c r="T182" s="168"/>
    </row>
    <row r="183" spans="1:21" ht="50.1" customHeight="1" thickBot="1" x14ac:dyDescent="0.25">
      <c r="B183" s="185" t="s">
        <v>220</v>
      </c>
      <c r="C183" s="186">
        <f>COUNTIF(F$3:F$171,B183)</f>
        <v>53</v>
      </c>
      <c r="D183" s="186">
        <f>COUNTIFS(F$3:F$171,B183,$R$3:$R$171,1)</f>
        <v>30</v>
      </c>
      <c r="O183" s="274"/>
      <c r="P183" s="274"/>
      <c r="Q183" s="461"/>
    </row>
    <row r="184" spans="1:21" ht="50.1" customHeight="1" thickBot="1" x14ac:dyDescent="0.25">
      <c r="B184" s="185" t="s">
        <v>380</v>
      </c>
      <c r="C184" s="186">
        <f t="shared" ref="C184:C186" si="32">COUNTIF(F$3:F$171,B184)</f>
        <v>91</v>
      </c>
      <c r="D184" s="186">
        <f t="shared" ref="D184:D186" si="33">COUNTIFS(F$3:F$171,B184,$R$3:$R$171,1)</f>
        <v>56</v>
      </c>
    </row>
    <row r="185" spans="1:21" ht="50.1" customHeight="1" thickBot="1" x14ac:dyDescent="0.25">
      <c r="B185" s="185" t="s">
        <v>825</v>
      </c>
      <c r="C185" s="186">
        <f t="shared" si="32"/>
        <v>16</v>
      </c>
      <c r="D185" s="186">
        <f t="shared" si="33"/>
        <v>7</v>
      </c>
    </row>
    <row r="186" spans="1:21" ht="50.1" customHeight="1" thickBot="1" x14ac:dyDescent="0.25">
      <c r="B186" s="185" t="s">
        <v>376</v>
      </c>
      <c r="C186" s="186">
        <f t="shared" si="32"/>
        <v>9</v>
      </c>
      <c r="D186" s="186">
        <f t="shared" si="33"/>
        <v>7</v>
      </c>
    </row>
    <row r="187" spans="1:21" ht="50.1" customHeight="1" x14ac:dyDescent="0.2">
      <c r="B187" s="259" t="s">
        <v>301</v>
      </c>
      <c r="C187" s="259">
        <f>SUM(C183:C186)</f>
        <v>169</v>
      </c>
      <c r="D187" s="259">
        <f>SUM(D183:D186)</f>
        <v>100</v>
      </c>
    </row>
    <row r="188" spans="1:21" ht="27" customHeight="1" thickBot="1" x14ac:dyDescent="0.25"/>
    <row r="189" spans="1:21" ht="50.1" customHeight="1" thickBot="1" x14ac:dyDescent="0.25">
      <c r="B189" s="98" t="s">
        <v>1174</v>
      </c>
      <c r="C189" s="98" t="s">
        <v>1175</v>
      </c>
      <c r="D189" s="98" t="s">
        <v>372</v>
      </c>
    </row>
    <row r="190" spans="1:21" ht="50.1" customHeight="1" thickBot="1" x14ac:dyDescent="0.25">
      <c r="B190" s="185" t="s">
        <v>905</v>
      </c>
      <c r="C190" s="186">
        <f>COUNTIF(Q$3:Q$171,B190)</f>
        <v>99</v>
      </c>
      <c r="D190" s="271">
        <f>C190/$C$193</f>
        <v>0.58579881656804733</v>
      </c>
    </row>
    <row r="191" spans="1:21" ht="50.1" customHeight="1" thickBot="1" x14ac:dyDescent="0.3">
      <c r="B191" s="185" t="s">
        <v>1099</v>
      </c>
      <c r="C191" s="186">
        <f t="shared" ref="C191:C192" si="34">COUNTIF(Q$3:Q$171,B191)</f>
        <v>34</v>
      </c>
      <c r="D191" s="271">
        <f>C191/$C$193</f>
        <v>0.20118343195266272</v>
      </c>
      <c r="E191"/>
    </row>
    <row r="192" spans="1:21" ht="50.1" customHeight="1" thickBot="1" x14ac:dyDescent="0.3">
      <c r="B192" s="185" t="s">
        <v>1100</v>
      </c>
      <c r="C192" s="186">
        <f t="shared" si="34"/>
        <v>36</v>
      </c>
      <c r="D192" s="271">
        <f>C192/$C$193</f>
        <v>0.21301775147928995</v>
      </c>
      <c r="E192"/>
    </row>
    <row r="193" spans="2:5" ht="50.1" customHeight="1" x14ac:dyDescent="0.25">
      <c r="B193" s="259"/>
      <c r="C193" s="259">
        <f>SUM(C190:C192)</f>
        <v>169</v>
      </c>
      <c r="D193" s="260">
        <f>SUM(D190:D192)</f>
        <v>1</v>
      </c>
      <c r="E193"/>
    </row>
    <row r="194" spans="2:5" ht="50.1" customHeight="1" x14ac:dyDescent="0.25">
      <c r="C194" s="192"/>
      <c r="D194" s="341"/>
      <c r="E194"/>
    </row>
    <row r="195" spans="2:5" ht="50.1" customHeight="1" x14ac:dyDescent="0.25">
      <c r="C195" s="192"/>
      <c r="D195" s="341"/>
      <c r="E195"/>
    </row>
    <row r="196" spans="2:5" ht="50.1" customHeight="1" x14ac:dyDescent="0.25">
      <c r="C196"/>
      <c r="D196" s="290"/>
      <c r="E196"/>
    </row>
    <row r="197" spans="2:5" ht="50.1" customHeight="1" x14ac:dyDescent="0.25">
      <c r="C197"/>
      <c r="D197" s="290"/>
      <c r="E197"/>
    </row>
    <row r="198" spans="2:5" ht="50.1" customHeight="1" x14ac:dyDescent="0.25">
      <c r="C198"/>
      <c r="D198" s="290"/>
      <c r="E198"/>
    </row>
    <row r="199" spans="2:5" ht="50.1" customHeight="1" x14ac:dyDescent="0.25">
      <c r="C199"/>
      <c r="D199" s="290"/>
      <c r="E199"/>
    </row>
    <row r="200" spans="2:5" ht="50.1" customHeight="1" x14ac:dyDescent="0.25">
      <c r="C200"/>
      <c r="D200" s="290"/>
      <c r="E200"/>
    </row>
    <row r="201" spans="2:5" ht="50.1" customHeight="1" x14ac:dyDescent="0.25">
      <c r="C201"/>
      <c r="D201" s="290"/>
      <c r="E201"/>
    </row>
    <row r="202" spans="2:5" ht="50.1" customHeight="1" x14ac:dyDescent="0.25">
      <c r="C202"/>
      <c r="D202" s="290"/>
      <c r="E202"/>
    </row>
    <row r="203" spans="2:5" ht="50.1" customHeight="1" x14ac:dyDescent="0.25">
      <c r="C203"/>
      <c r="D203" s="290"/>
      <c r="E203"/>
    </row>
    <row r="204" spans="2:5" ht="50.1" customHeight="1" x14ac:dyDescent="0.25">
      <c r="C204"/>
      <c r="D204" s="290"/>
      <c r="E204"/>
    </row>
    <row r="205" spans="2:5" ht="50.1" customHeight="1" x14ac:dyDescent="0.25">
      <c r="C205"/>
      <c r="D205" s="290"/>
      <c r="E205"/>
    </row>
    <row r="206" spans="2:5" ht="50.1" customHeight="1" x14ac:dyDescent="0.25">
      <c r="C206"/>
      <c r="D206" s="290"/>
      <c r="E206"/>
    </row>
    <row r="207" spans="2:5" ht="50.1" customHeight="1" x14ac:dyDescent="0.25">
      <c r="C207"/>
      <c r="D207" s="290"/>
      <c r="E207"/>
    </row>
    <row r="208" spans="2:5" ht="50.1" customHeight="1" x14ac:dyDescent="0.25">
      <c r="C208"/>
      <c r="D208" s="290"/>
      <c r="E208"/>
    </row>
  </sheetData>
  <autoFilter ref="A2:U171">
    <sortState ref="A3:U171">
      <sortCondition ref="S2:S171"/>
    </sortState>
  </autoFilter>
  <sortState ref="A3:Z185">
    <sortCondition descending="1" ref="S3:S185"/>
    <sortCondition ref="U3:U185"/>
    <sortCondition ref="I3:I185"/>
    <sortCondition ref="J3:J185"/>
  </sortState>
  <customSheetViews>
    <customSheetView guid="{6DFBCBA6-E327-48F2-941C-44ACD0154C7D}" scale="70" fitToPage="1" showAutoFilter="1" topLeftCell="A184">
      <selection activeCell="D194" sqref="D194"/>
      <pageMargins left="0.511811024" right="0.511811024" top="0.78740157499999996" bottom="0.78740157499999996" header="0.31496062000000002" footer="0.31496062000000002"/>
      <pageSetup paperSize="9" scale="37" fitToHeight="0" orientation="landscape" r:id="rId1"/>
      <autoFilter ref="A2:T177">
        <sortState ref="A3:T177">
          <sortCondition ref="T2:T177"/>
        </sortState>
      </autoFilter>
    </customSheetView>
    <customSheetView guid="{9DA56328-1E02-4631-BF3A-66F8FD0B96FD}" scale="85" fitToPage="1" showAutoFilter="1" topLeftCell="P22">
      <selection activeCell="Y30" sqref="Y30"/>
      <pageMargins left="0.511811024" right="0.511811024" top="0.78740157499999996" bottom="0.78740157499999996" header="0.31496062000000002" footer="0.31496062000000002"/>
      <pageSetup paperSize="9" scale="37" fitToHeight="0" orientation="landscape" r:id="rId2"/>
      <autoFilter ref="A2:X177">
        <sortState ref="A3:X185">
          <sortCondition ref="X2:X177"/>
        </sortState>
      </autoFilter>
    </customSheetView>
  </customSheetViews>
  <pageMargins left="0.511811024" right="0.511811024" top="0.78740157499999996" bottom="0.78740157499999996" header="0.31496062000000002" footer="0.31496062000000002"/>
  <pageSetup paperSize="9" scale="31" fitToHeight="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8" zoomScale="85" zoomScaleNormal="85" workbookViewId="0">
      <selection activeCell="E52" sqref="E52"/>
    </sheetView>
  </sheetViews>
  <sheetFormatPr defaultColWidth="30.7109375" defaultRowHeight="12.75" x14ac:dyDescent="0.25"/>
  <cols>
    <col min="1" max="1" width="13.5703125" style="132" bestFit="1" customWidth="1"/>
    <col min="2" max="2" width="14.28515625" style="132" bestFit="1" customWidth="1"/>
    <col min="3" max="3" width="20.5703125" style="132" bestFit="1" customWidth="1"/>
    <col min="4" max="4" width="28.85546875" style="132" bestFit="1" customWidth="1"/>
    <col min="5" max="5" width="89.28515625" style="132" customWidth="1"/>
    <col min="6" max="6" width="10.7109375" style="10" bestFit="1" customWidth="1"/>
    <col min="7" max="7" width="12.140625" style="10" customWidth="1"/>
    <col min="8" max="8" width="22" style="133" customWidth="1"/>
    <col min="9" max="9" width="22.28515625" style="133" bestFit="1" customWidth="1"/>
    <col min="10" max="16384" width="30.7109375" style="132"/>
  </cols>
  <sheetData>
    <row r="1" spans="1:9" ht="36" customHeight="1" x14ac:dyDescent="0.25">
      <c r="A1" s="199" t="s">
        <v>969</v>
      </c>
      <c r="B1" s="200"/>
      <c r="C1" s="201"/>
      <c r="D1" s="200"/>
      <c r="E1" s="565" t="s">
        <v>847</v>
      </c>
      <c r="F1" s="565"/>
      <c r="G1" s="565"/>
      <c r="H1" s="565"/>
      <c r="I1" s="565"/>
    </row>
    <row r="2" spans="1:9" s="112" customFormat="1" x14ac:dyDescent="0.25">
      <c r="A2" s="78" t="s">
        <v>360</v>
      </c>
      <c r="B2" s="78" t="s">
        <v>11</v>
      </c>
      <c r="C2" s="78" t="s">
        <v>374</v>
      </c>
      <c r="D2" s="78" t="s">
        <v>206</v>
      </c>
      <c r="E2" s="78" t="s">
        <v>286</v>
      </c>
      <c r="F2" s="78" t="s">
        <v>287</v>
      </c>
      <c r="G2" s="78" t="s">
        <v>288</v>
      </c>
      <c r="H2" s="78" t="s">
        <v>289</v>
      </c>
      <c r="I2" s="78" t="s">
        <v>290</v>
      </c>
    </row>
    <row r="3" spans="1:9" ht="30.75" customHeight="1" x14ac:dyDescent="0.25">
      <c r="A3" s="136" t="s">
        <v>23</v>
      </c>
      <c r="B3" s="137" t="s">
        <v>385</v>
      </c>
      <c r="C3" s="125" t="s">
        <v>293</v>
      </c>
      <c r="D3" s="138" t="str">
        <f>VLOOKUP(A3,'2-Inventário de Necessidades'!$A$2:$B$63,2,0)</f>
        <v>SISTEMAS DE INFORMAÇÃO</v>
      </c>
      <c r="E3" s="138" t="str">
        <f>VLOOKUP(B3,'3-Plano de Ações'!$D$2:$E$177,2,0)</f>
        <v>LICITAÇÃO para contratação de serviço técnico especializado em desenvolvimento e manutenção de software,infraestrutura de TI e administração de banco de dados</v>
      </c>
      <c r="F3" s="139">
        <v>36</v>
      </c>
      <c r="G3" s="139" t="s">
        <v>294</v>
      </c>
      <c r="H3" s="140">
        <v>250000</v>
      </c>
      <c r="I3" s="141">
        <f t="shared" ref="I3:I39" si="0">F3*H3</f>
        <v>9000000</v>
      </c>
    </row>
    <row r="4" spans="1:9" ht="30.75" customHeight="1" x14ac:dyDescent="0.25">
      <c r="A4" s="136" t="s">
        <v>32</v>
      </c>
      <c r="B4" s="137" t="s">
        <v>836</v>
      </c>
      <c r="C4" s="125" t="str">
        <f>VLOOKUP(B4,'3-Plano de Ações'!$D$3:$N$177,11,0)</f>
        <v>INVESTIMENTO</v>
      </c>
      <c r="D4" s="138" t="str">
        <f>VLOOKUP(A4,'2-Inventário de Necessidades'!$A$2:$B$63,2,0)</f>
        <v>INFRAESTRUTURA DE TI</v>
      </c>
      <c r="E4" s="138" t="str">
        <f>VLOOKUP(B4,'3-Plano de Ações'!$D$2:$E$177,2,0)</f>
        <v>Realizar aquisição de ferramenta de acesso remoto estável</v>
      </c>
      <c r="F4" s="139">
        <v>10</v>
      </c>
      <c r="G4" s="139" t="s">
        <v>297</v>
      </c>
      <c r="H4" s="140">
        <v>2500</v>
      </c>
      <c r="I4" s="141">
        <f t="shared" si="0"/>
        <v>25000</v>
      </c>
    </row>
    <row r="5" spans="1:9" ht="30.75" customHeight="1" x14ac:dyDescent="0.25">
      <c r="A5" s="136" t="s">
        <v>32</v>
      </c>
      <c r="B5" s="137" t="s">
        <v>35</v>
      </c>
      <c r="C5" s="125" t="str">
        <f>VLOOKUP(B5,'3-Plano de Ações'!$D$3:$N$177,11,0)</f>
        <v>INVESTIMENTO</v>
      </c>
      <c r="D5" s="138" t="str">
        <f>VLOOKUP(A5,'2-Inventário de Necessidades'!$A$2:$B$63,2,0)</f>
        <v>INFRAESTRUTURA DE TI</v>
      </c>
      <c r="E5" s="138" t="str">
        <f>VLOOKUP(B5,'3-Plano de Ações'!$D$2:$E$177,2,0)</f>
        <v>LICITAÇÃO para aquisição de ativos da rede SAN do Datacenter e memórias para equipamentos servidores</v>
      </c>
      <c r="F5" s="139">
        <v>1</v>
      </c>
      <c r="G5" s="139" t="s">
        <v>297</v>
      </c>
      <c r="H5" s="140">
        <v>144000</v>
      </c>
      <c r="I5" s="141">
        <f t="shared" si="0"/>
        <v>144000</v>
      </c>
    </row>
    <row r="6" spans="1:9" ht="30.75" customHeight="1" x14ac:dyDescent="0.25">
      <c r="A6" s="136" t="s">
        <v>32</v>
      </c>
      <c r="B6" s="137" t="s">
        <v>37</v>
      </c>
      <c r="C6" s="125" t="str">
        <f>VLOOKUP(B6,'3-Plano de Ações'!$D$3:$N$177,11,0)</f>
        <v>INVESTIMENTO</v>
      </c>
      <c r="D6" s="138" t="str">
        <f>VLOOKUP(A6,'2-Inventário de Necessidades'!$A$2:$B$63,2,0)</f>
        <v>INFRAESTRUTURA DE TI</v>
      </c>
      <c r="E6" s="138" t="str">
        <f>VLOOKUP(B6,'3-Plano de Ações'!$D$2:$E$177,2,0)</f>
        <v>Aprimoramento de recursos do Banco de Dados (Oracle Enterprise)</v>
      </c>
      <c r="F6" s="139">
        <v>1</v>
      </c>
      <c r="G6" s="139" t="s">
        <v>297</v>
      </c>
      <c r="H6" s="140">
        <v>200000</v>
      </c>
      <c r="I6" s="141">
        <f t="shared" si="0"/>
        <v>200000</v>
      </c>
    </row>
    <row r="7" spans="1:9" ht="30.75" customHeight="1" x14ac:dyDescent="0.25">
      <c r="A7" s="136" t="s">
        <v>32</v>
      </c>
      <c r="B7" s="137" t="s">
        <v>39</v>
      </c>
      <c r="C7" s="125" t="str">
        <f>VLOOKUP(B7,'3-Plano de Ações'!$D$3:$N$177,11,0)</f>
        <v>INVESTIMENTO</v>
      </c>
      <c r="D7" s="138" t="str">
        <f>VLOOKUP(A7,'2-Inventário de Necessidades'!$A$2:$B$63,2,0)</f>
        <v>INFRAESTRUTURA DE TI</v>
      </c>
      <c r="E7" s="138" t="str">
        <f>VLOOKUP(B7,'3-Plano de Ações'!$D$2:$E$177,2,0)</f>
        <v>Realizar aquisição de equipamentos servidores</v>
      </c>
      <c r="F7" s="139">
        <v>1</v>
      </c>
      <c r="G7" s="139" t="s">
        <v>297</v>
      </c>
      <c r="H7" s="140">
        <v>130000</v>
      </c>
      <c r="I7" s="141">
        <f t="shared" si="0"/>
        <v>130000</v>
      </c>
    </row>
    <row r="8" spans="1:9" ht="30.75" customHeight="1" x14ac:dyDescent="0.25">
      <c r="A8" s="136" t="s">
        <v>32</v>
      </c>
      <c r="B8" s="137" t="s">
        <v>41</v>
      </c>
      <c r="C8" s="125" t="str">
        <f>VLOOKUP(B8,'3-Plano de Ações'!$D$3:$N$177,11,0)</f>
        <v>INVESTIMENTO</v>
      </c>
      <c r="D8" s="138" t="str">
        <f>VLOOKUP(A8,'2-Inventário de Necessidades'!$A$2:$B$63,2,0)</f>
        <v>INFRAESTRUTURA DE TI</v>
      </c>
      <c r="E8" s="138" t="str">
        <f>VLOOKUP(B8,'3-Plano de Ações'!$D$2:$E$177,2,0)</f>
        <v>Aquisição de Soluções de Segurança da Informação (Firewall / Web Proxy Corporativo)</v>
      </c>
      <c r="F8" s="139">
        <v>1</v>
      </c>
      <c r="G8" s="139" t="s">
        <v>297</v>
      </c>
      <c r="H8" s="140">
        <v>1000000</v>
      </c>
      <c r="I8" s="141">
        <f t="shared" si="0"/>
        <v>1000000</v>
      </c>
    </row>
    <row r="9" spans="1:9" ht="30.75" customHeight="1" x14ac:dyDescent="0.25">
      <c r="A9" s="136" t="s">
        <v>32</v>
      </c>
      <c r="B9" s="137" t="s">
        <v>42</v>
      </c>
      <c r="C9" s="125" t="str">
        <f>VLOOKUP(B9,'3-Plano de Ações'!$D$3:$N$177,11,0)</f>
        <v>INVESTIMENTO</v>
      </c>
      <c r="D9" s="138" t="str">
        <f>VLOOKUP(A9,'2-Inventário de Necessidades'!$A$2:$B$63,2,0)</f>
        <v>INFRAESTRUTURA DE TI</v>
      </c>
      <c r="E9" s="138" t="str">
        <f>VLOOKUP(B9,'3-Plano de Ações'!$D$2:$E$177,2,0)</f>
        <v>Efetivar aquisição de licenças de sistema de virtualização VM-WARE (Adesão ata)</v>
      </c>
      <c r="F9" s="139">
        <v>1</v>
      </c>
      <c r="G9" s="139" t="s">
        <v>297</v>
      </c>
      <c r="H9" s="140">
        <v>225000</v>
      </c>
      <c r="I9" s="141">
        <f t="shared" si="0"/>
        <v>225000</v>
      </c>
    </row>
    <row r="10" spans="1:9" ht="30.75" customHeight="1" x14ac:dyDescent="0.25">
      <c r="A10" s="136" t="s">
        <v>32</v>
      </c>
      <c r="B10" s="137" t="s">
        <v>44</v>
      </c>
      <c r="C10" s="125" t="str">
        <f>VLOOKUP(B10,'3-Plano de Ações'!$D$3:$N$177,11,0)</f>
        <v>CUSTEIO</v>
      </c>
      <c r="D10" s="138" t="str">
        <f>VLOOKUP(A10,'2-Inventário de Necessidades'!$A$2:$B$63,2,0)</f>
        <v>INFRAESTRUTURA DE TI</v>
      </c>
      <c r="E10" s="138" t="str">
        <f>VLOOKUP(B10,'3-Plano de Ações'!$D$2:$E$177,2,0)</f>
        <v>Contratação de Serviços de Manutenção de STORAGE (Armazenamento)</v>
      </c>
      <c r="F10" s="139">
        <v>3</v>
      </c>
      <c r="G10" s="139" t="s">
        <v>298</v>
      </c>
      <c r="H10" s="140">
        <v>15000</v>
      </c>
      <c r="I10" s="141">
        <f t="shared" si="0"/>
        <v>45000</v>
      </c>
    </row>
    <row r="11" spans="1:9" ht="30.75" customHeight="1" x14ac:dyDescent="0.25">
      <c r="A11" s="136" t="s">
        <v>45</v>
      </c>
      <c r="B11" s="137" t="s">
        <v>299</v>
      </c>
      <c r="C11" s="125" t="str">
        <f>VLOOKUP(B11,'3-Plano de Ações'!$D$3:$N$177,11,0)</f>
        <v>CUSTEIO</v>
      </c>
      <c r="D11" s="138" t="str">
        <f>VLOOKUP(A11,'2-Inventário de Necessidades'!$A$2:$B$63,2,0)</f>
        <v>SISTEMAS DE INFORMAÇÃO</v>
      </c>
      <c r="E11" s="138" t="str">
        <f>VLOOKUP(B11,'3-Plano de Ações'!$D$2:$E$177,2,0)</f>
        <v>Contratação de Serviços de Manutenção de BANCO DE DADOS - ORACLE</v>
      </c>
      <c r="F11" s="139">
        <v>1</v>
      </c>
      <c r="G11" s="139" t="s">
        <v>297</v>
      </c>
      <c r="H11" s="140">
        <v>30000</v>
      </c>
      <c r="I11" s="141">
        <f t="shared" si="0"/>
        <v>30000</v>
      </c>
    </row>
    <row r="12" spans="1:9" ht="30.75" customHeight="1" x14ac:dyDescent="0.25">
      <c r="A12" s="136" t="s">
        <v>45</v>
      </c>
      <c r="B12" s="137" t="s">
        <v>300</v>
      </c>
      <c r="C12" s="125" t="str">
        <f>VLOOKUP(B12,'3-Plano de Ações'!$D$3:$N$177,11,0)</f>
        <v>INVESTIMENTO</v>
      </c>
      <c r="D12" s="138" t="str">
        <f>VLOOKUP(A12,'2-Inventário de Necessidades'!$A$2:$B$63,2,0)</f>
        <v>SISTEMAS DE INFORMAÇÃO</v>
      </c>
      <c r="E12" s="138" t="str">
        <f>VLOOKUP(B12,'3-Plano de Ações'!$D$2:$E$177,2,0)</f>
        <v>Aquisição de Equipamentos de Armazenamento (Discos Storage)</v>
      </c>
      <c r="F12" s="139">
        <v>1</v>
      </c>
      <c r="G12" s="139" t="s">
        <v>297</v>
      </c>
      <c r="H12" s="140">
        <v>50000</v>
      </c>
      <c r="I12" s="141">
        <f t="shared" si="0"/>
        <v>50000</v>
      </c>
    </row>
    <row r="13" spans="1:9" ht="30.75" customHeight="1" x14ac:dyDescent="0.25">
      <c r="A13" s="136" t="s">
        <v>5</v>
      </c>
      <c r="B13" s="137" t="s">
        <v>72</v>
      </c>
      <c r="C13" s="125" t="str">
        <f>VLOOKUP(B13,'3-Plano de Ações'!$D$3:$N$177,11,0)</f>
        <v>INVESTIMENTO</v>
      </c>
      <c r="D13" s="138" t="str">
        <f>VLOOKUP(A13,'2-Inventário de Necessidades'!$A$2:$B$63,2,0)</f>
        <v>INFRAESTRUTURA DE TI</v>
      </c>
      <c r="E13" s="138" t="str">
        <f>VLOOKUP(B13,'3-Plano de Ações'!$D$2:$E$177,2,0)</f>
        <v>Realizar aquisição de computadores</v>
      </c>
      <c r="F13" s="139">
        <v>170</v>
      </c>
      <c r="G13" s="139" t="s">
        <v>297</v>
      </c>
      <c r="H13" s="140">
        <v>5000</v>
      </c>
      <c r="I13" s="141">
        <f t="shared" si="0"/>
        <v>850000</v>
      </c>
    </row>
    <row r="14" spans="1:9" ht="30.75" customHeight="1" x14ac:dyDescent="0.25">
      <c r="A14" s="136" t="s">
        <v>80</v>
      </c>
      <c r="B14" s="137" t="s">
        <v>74</v>
      </c>
      <c r="C14" s="125" t="str">
        <f>VLOOKUP(B14,'3-Plano de Ações'!$D$3:$N$177,11,0)</f>
        <v>INVESTIMENTO</v>
      </c>
      <c r="D14" s="138" t="str">
        <f>VLOOKUP(A14,'2-Inventário de Necessidades'!$A$2:$B$63,2,0)</f>
        <v>SERVIÇOS DE TI</v>
      </c>
      <c r="E14" s="138" t="str">
        <f>VLOOKUP(B14,'3-Plano de Ações'!$D$2:$E$177,2,0)</f>
        <v>Realizar aquisição de monitores</v>
      </c>
      <c r="F14" s="139">
        <v>200</v>
      </c>
      <c r="G14" s="139" t="s">
        <v>297</v>
      </c>
      <c r="H14" s="140">
        <v>500</v>
      </c>
      <c r="I14" s="141">
        <f t="shared" si="0"/>
        <v>100000</v>
      </c>
    </row>
    <row r="15" spans="1:9" ht="30.75" customHeight="1" x14ac:dyDescent="0.25">
      <c r="A15" s="136" t="s">
        <v>83</v>
      </c>
      <c r="B15" s="137" t="s">
        <v>76</v>
      </c>
      <c r="C15" s="125" t="str">
        <f>VLOOKUP(B15,'3-Plano de Ações'!$D$3:$N$177,11,0)</f>
        <v>INVESTIMENTO</v>
      </c>
      <c r="D15" s="138" t="str">
        <f>VLOOKUP(A15,'2-Inventário de Necessidades'!$A$2:$B$63,2,0)</f>
        <v>GOVERNANÇA E GESTÃO DE TI</v>
      </c>
      <c r="E15" s="138" t="str">
        <f>VLOOKUP(B15,'3-Plano de Ações'!$D$2:$E$177,2,0)</f>
        <v>Realizar aquisição de scanners</v>
      </c>
      <c r="F15" s="139">
        <v>50</v>
      </c>
      <c r="G15" s="139" t="s">
        <v>297</v>
      </c>
      <c r="H15" s="140">
        <v>5000</v>
      </c>
      <c r="I15" s="141">
        <f t="shared" si="0"/>
        <v>250000</v>
      </c>
    </row>
    <row r="16" spans="1:9" ht="30.75" customHeight="1" x14ac:dyDescent="0.25">
      <c r="A16" s="136" t="s">
        <v>83</v>
      </c>
      <c r="B16" s="137" t="s">
        <v>77</v>
      </c>
      <c r="C16" s="125" t="str">
        <f>VLOOKUP(B16,'3-Plano de Ações'!$D$3:$N$177,11,0)</f>
        <v>INVESTIMENTO</v>
      </c>
      <c r="D16" s="138" t="str">
        <f>VLOOKUP(A16,'2-Inventário de Necessidades'!$A$2:$B$63,2,0)</f>
        <v>GOVERNANÇA E GESTÃO DE TI</v>
      </c>
      <c r="E16" s="138" t="str">
        <f>VLOOKUP(B16,'3-Plano de Ações'!$D$2:$E$177,2,0)</f>
        <v>Realizar aquisição de Dispositivos Móveis (Notebooks/Tablets/Smartphones)</v>
      </c>
      <c r="F16" s="139">
        <v>80</v>
      </c>
      <c r="G16" s="139" t="s">
        <v>297</v>
      </c>
      <c r="H16" s="140">
        <v>4000</v>
      </c>
      <c r="I16" s="141">
        <f t="shared" si="0"/>
        <v>320000</v>
      </c>
    </row>
    <row r="17" spans="1:9" ht="30.75" customHeight="1" x14ac:dyDescent="0.25">
      <c r="A17" s="136" t="s">
        <v>92</v>
      </c>
      <c r="B17" s="137" t="s">
        <v>91</v>
      </c>
      <c r="C17" s="125" t="str">
        <f>VLOOKUP(B17,'3-Plano de Ações'!$D$3:$N$177,11,0)</f>
        <v>INVESTIMENTO</v>
      </c>
      <c r="D17" s="138" t="str">
        <f>VLOOKUP(A17,'2-Inventário de Necessidades'!$A$2:$B$63,2,0)</f>
        <v>SISTEMAS DE INFORMAÇÃO</v>
      </c>
      <c r="E17" s="138" t="str">
        <f>VLOOKUP(B17,'3-Plano de Ações'!$D$2:$E$177,2,0)</f>
        <v>Executar plano de Capacitação dos servidores de TI</v>
      </c>
      <c r="F17" s="139">
        <v>1</v>
      </c>
      <c r="G17" s="139" t="s">
        <v>301</v>
      </c>
      <c r="H17" s="141">
        <f>'5-Capacitação'!G32</f>
        <v>96271.15</v>
      </c>
      <c r="I17" s="141">
        <f t="shared" si="0"/>
        <v>96271.15</v>
      </c>
    </row>
    <row r="18" spans="1:9" ht="30.75" customHeight="1" x14ac:dyDescent="0.25">
      <c r="A18" s="136" t="s">
        <v>104</v>
      </c>
      <c r="B18" s="137" t="s">
        <v>99</v>
      </c>
      <c r="C18" s="125" t="str">
        <f>VLOOKUP(B18,'3-Plano de Ações'!$D$3:$N$177,11,0)</f>
        <v>INVESTIMENTO</v>
      </c>
      <c r="D18" s="138" t="str">
        <f>VLOOKUP(A18,'2-Inventário de Necessidades'!$A$2:$B$63,2,0)</f>
        <v>SISTEMAS DE INFORMAÇÃO</v>
      </c>
      <c r="E18" s="138" t="str">
        <f>VLOOKUP(B18,'3-Plano de Ações'!$D$2:$E$177,2,0)</f>
        <v>Aprimoramento da infraestrutura do datacenter da nova sede</v>
      </c>
      <c r="F18" s="139">
        <v>1</v>
      </c>
      <c r="G18" s="139" t="s">
        <v>297</v>
      </c>
      <c r="H18" s="140">
        <v>1000000</v>
      </c>
      <c r="I18" s="141">
        <f t="shared" si="0"/>
        <v>1000000</v>
      </c>
    </row>
    <row r="19" spans="1:9" ht="30.75" customHeight="1" x14ac:dyDescent="0.25">
      <c r="A19" s="136" t="s">
        <v>105</v>
      </c>
      <c r="B19" s="137" t="s">
        <v>837</v>
      </c>
      <c r="C19" s="125" t="str">
        <f>VLOOKUP(B19,'3-Plano de Ações'!$D$3:$N$177,11,0)</f>
        <v>INVESTIMENTO</v>
      </c>
      <c r="D19" s="138" t="str">
        <f>VLOOKUP(A19,'2-Inventário de Necessidades'!$A$2:$B$63,2,0)</f>
        <v>SERVIÇOS DE TI</v>
      </c>
      <c r="E19" s="138" t="str">
        <f>VLOOKUP(B19,'3-Plano de Ações'!$D$2:$E$177,2,0)</f>
        <v>Realizar a adequação da infraestrutura do datacenter NOVA SEDE</v>
      </c>
      <c r="F19" s="139">
        <v>0</v>
      </c>
      <c r="G19" s="139" t="s">
        <v>292</v>
      </c>
      <c r="H19" s="140">
        <v>0</v>
      </c>
      <c r="I19" s="141">
        <f t="shared" si="0"/>
        <v>0</v>
      </c>
    </row>
    <row r="20" spans="1:9" ht="30.75" customHeight="1" x14ac:dyDescent="0.25">
      <c r="A20" s="136" t="s">
        <v>145</v>
      </c>
      <c r="B20" s="137" t="s">
        <v>138</v>
      </c>
      <c r="C20" s="125" t="str">
        <f>VLOOKUP(B20,'3-Plano de Ações'!$D$3:$N$177,11,0)</f>
        <v>INVESTIMENTO</v>
      </c>
      <c r="D20" s="138" t="str">
        <f>VLOOKUP(A20,'2-Inventário de Necessidades'!$A$2:$B$63,2,0)</f>
        <v>SISTEMAS DE INFORMAÇÃO</v>
      </c>
      <c r="E20" s="138" t="str">
        <f>VLOOKUP(B20,'3-Plano de Ações'!$D$2:$E$177,2,0)</f>
        <v>Realizar aquisição de solução de spam e de solução de Backup de e-mail</v>
      </c>
      <c r="F20" s="139">
        <v>1</v>
      </c>
      <c r="G20" s="139" t="s">
        <v>297</v>
      </c>
      <c r="H20" s="140">
        <v>120000</v>
      </c>
      <c r="I20" s="141">
        <f t="shared" si="0"/>
        <v>120000</v>
      </c>
    </row>
    <row r="21" spans="1:9" ht="30.75" customHeight="1" x14ac:dyDescent="0.25">
      <c r="A21" s="136" t="s">
        <v>145</v>
      </c>
      <c r="B21" s="137" t="s">
        <v>147</v>
      </c>
      <c r="C21" s="125" t="str">
        <f>VLOOKUP(B21,'3-Plano de Ações'!$D$3:$N$177,11,0)</f>
        <v>INVESTIMENTO</v>
      </c>
      <c r="D21" s="138" t="str">
        <f>VLOOKUP(A21,'2-Inventário de Necessidades'!$A$2:$B$63,2,0)</f>
        <v>SISTEMAS DE INFORMAÇÃO</v>
      </c>
      <c r="E21" s="138" t="str">
        <f>VLOOKUP(B21,'3-Plano de Ações'!$D$2:$E$177,2,0)</f>
        <v>Realizar aquisição de Corel Draw / Photopaint</v>
      </c>
      <c r="F21" s="139">
        <v>5</v>
      </c>
      <c r="G21" s="139" t="s">
        <v>297</v>
      </c>
      <c r="H21" s="140">
        <v>1200</v>
      </c>
      <c r="I21" s="141">
        <f t="shared" si="0"/>
        <v>6000</v>
      </c>
    </row>
    <row r="22" spans="1:9" ht="30.75" customHeight="1" x14ac:dyDescent="0.25">
      <c r="A22" s="136" t="s">
        <v>145</v>
      </c>
      <c r="B22" s="137" t="s">
        <v>149</v>
      </c>
      <c r="C22" s="125" t="str">
        <f>VLOOKUP(B22,'3-Plano de Ações'!$D$3:$N$177,11,0)</f>
        <v>INVESTIMENTO</v>
      </c>
      <c r="D22" s="138" t="str">
        <f>VLOOKUP(A22,'2-Inventário de Necessidades'!$A$2:$B$63,2,0)</f>
        <v>SISTEMAS DE INFORMAÇÃO</v>
      </c>
      <c r="E22" s="138" t="str">
        <f>VLOOKUP(B22,'3-Plano de Ações'!$D$2:$E$177,2,0)</f>
        <v>Realizar aquisição de Autodesk Autocad</v>
      </c>
      <c r="F22" s="139">
        <v>3</v>
      </c>
      <c r="G22" s="139" t="s">
        <v>297</v>
      </c>
      <c r="H22" s="140">
        <v>16000</v>
      </c>
      <c r="I22" s="141">
        <f t="shared" si="0"/>
        <v>48000</v>
      </c>
    </row>
    <row r="23" spans="1:9" ht="30.75" customHeight="1" x14ac:dyDescent="0.25">
      <c r="A23" s="136" t="s">
        <v>145</v>
      </c>
      <c r="B23" s="137" t="s">
        <v>151</v>
      </c>
      <c r="C23" s="125" t="str">
        <f>VLOOKUP(B23,'3-Plano de Ações'!$D$3:$N$177,11,0)</f>
        <v>INVESTIMENTO</v>
      </c>
      <c r="D23" s="138" t="str">
        <f>VLOOKUP(A23,'2-Inventário de Necessidades'!$A$2:$B$63,2,0)</f>
        <v>SISTEMAS DE INFORMAÇÃO</v>
      </c>
      <c r="E23" s="138" t="str">
        <f>VLOOKUP(B23,'3-Plano de Ações'!$D$2:$E$177,2,0)</f>
        <v>Realizar aquisição de Adobe PhotoShop</v>
      </c>
      <c r="F23" s="139">
        <v>5</v>
      </c>
      <c r="G23" s="139" t="s">
        <v>297</v>
      </c>
      <c r="H23" s="140">
        <v>2000</v>
      </c>
      <c r="I23" s="141">
        <f t="shared" si="0"/>
        <v>10000</v>
      </c>
    </row>
    <row r="24" spans="1:9" ht="30.75" customHeight="1" x14ac:dyDescent="0.25">
      <c r="A24" s="136" t="s">
        <v>145</v>
      </c>
      <c r="B24" s="137" t="s">
        <v>153</v>
      </c>
      <c r="C24" s="125" t="str">
        <f>VLOOKUP(B24,'3-Plano de Ações'!$D$3:$N$177,11,0)</f>
        <v>INVESTIMENTO</v>
      </c>
      <c r="D24" s="138" t="str">
        <f>VLOOKUP(A24,'2-Inventário de Necessidades'!$A$2:$B$63,2,0)</f>
        <v>SISTEMAS DE INFORMAÇÃO</v>
      </c>
      <c r="E24" s="138" t="str">
        <f>VLOOKUP(B24,'3-Plano de Ações'!$D$2:$E$177,2,0)</f>
        <v>Realizar aquisição de Adobe Acrobat Pro</v>
      </c>
      <c r="F24" s="139">
        <v>10</v>
      </c>
      <c r="G24" s="139" t="s">
        <v>297</v>
      </c>
      <c r="H24" s="140">
        <v>1000</v>
      </c>
      <c r="I24" s="141">
        <f t="shared" si="0"/>
        <v>10000</v>
      </c>
    </row>
    <row r="25" spans="1:9" ht="30.75" customHeight="1" x14ac:dyDescent="0.25">
      <c r="A25" s="136" t="s">
        <v>145</v>
      </c>
      <c r="B25" s="137" t="s">
        <v>155</v>
      </c>
      <c r="C25" s="125" t="str">
        <f>VLOOKUP(B25,'3-Plano de Ações'!$D$3:$N$177,11,0)</f>
        <v>INVESTIMENTO</v>
      </c>
      <c r="D25" s="138" t="str">
        <f>VLOOKUP(A25,'2-Inventário de Necessidades'!$A$2:$B$63,2,0)</f>
        <v>SISTEMAS DE INFORMAÇÃO</v>
      </c>
      <c r="E25" s="138" t="str">
        <f>VLOOKUP(B25,'3-Plano de Ações'!$D$2:$E$177,2,0)</f>
        <v>Realizar aquisição de Adobe InDesign</v>
      </c>
      <c r="F25" s="139">
        <v>5</v>
      </c>
      <c r="G25" s="139" t="s">
        <v>297</v>
      </c>
      <c r="H25" s="140">
        <v>2000</v>
      </c>
      <c r="I25" s="141">
        <f t="shared" si="0"/>
        <v>10000</v>
      </c>
    </row>
    <row r="26" spans="1:9" ht="30.75" customHeight="1" x14ac:dyDescent="0.25">
      <c r="A26" s="136" t="s">
        <v>145</v>
      </c>
      <c r="B26" s="137" t="s">
        <v>157</v>
      </c>
      <c r="C26" s="125" t="str">
        <f>VLOOKUP(B26,'3-Plano de Ações'!$D$3:$N$177,11,0)</f>
        <v>INVESTIMENTO</v>
      </c>
      <c r="D26" s="138" t="str">
        <f>VLOOKUP(A26,'2-Inventário de Necessidades'!$A$2:$B$63,2,0)</f>
        <v>SISTEMAS DE INFORMAÇÃO</v>
      </c>
      <c r="E26" s="138" t="str">
        <f>VLOOKUP(B26,'3-Plano de Ações'!$D$2:$E$177,2,0)</f>
        <v>Realizar atualização do Pacote Microsoft Office</v>
      </c>
      <c r="F26" s="139">
        <v>500</v>
      </c>
      <c r="G26" s="139" t="s">
        <v>297</v>
      </c>
      <c r="H26" s="140">
        <v>520</v>
      </c>
      <c r="I26" s="141">
        <f t="shared" si="0"/>
        <v>260000</v>
      </c>
    </row>
    <row r="27" spans="1:9" ht="30.75" customHeight="1" x14ac:dyDescent="0.25">
      <c r="A27" s="136" t="s">
        <v>145</v>
      </c>
      <c r="B27" s="137" t="s">
        <v>158</v>
      </c>
      <c r="C27" s="125" t="str">
        <f>VLOOKUP(B27,'3-Plano de Ações'!$D$3:$N$177,11,0)</f>
        <v>INVESTIMENTO</v>
      </c>
      <c r="D27" s="138" t="str">
        <f>VLOOKUP(A27,'2-Inventário de Necessidades'!$A$2:$B$63,2,0)</f>
        <v>SISTEMAS DE INFORMAÇÃO</v>
      </c>
      <c r="E27" s="138" t="str">
        <f>VLOOKUP(B27,'3-Plano de Ações'!$D$2:$E$177,2,0)</f>
        <v>Realizar aquisição de Sistema para Gerenciamento de Processos Bizagi</v>
      </c>
      <c r="F27" s="139">
        <v>5</v>
      </c>
      <c r="G27" s="139" t="s">
        <v>297</v>
      </c>
      <c r="H27" s="140">
        <v>2000</v>
      </c>
      <c r="I27" s="141">
        <f t="shared" si="0"/>
        <v>10000</v>
      </c>
    </row>
    <row r="28" spans="1:9" ht="30.75" customHeight="1" x14ac:dyDescent="0.25">
      <c r="A28" s="136" t="s">
        <v>145</v>
      </c>
      <c r="B28" s="137" t="s">
        <v>160</v>
      </c>
      <c r="C28" s="125" t="str">
        <f>VLOOKUP(B28,'3-Plano de Ações'!$D$3:$N$177,11,0)</f>
        <v>INVESTIMENTO</v>
      </c>
      <c r="D28" s="138" t="str">
        <f>VLOOKUP(A28,'2-Inventário de Necessidades'!$A$2:$B$63,2,0)</f>
        <v>SISTEMAS DE INFORMAÇÃO</v>
      </c>
      <c r="E28" s="138" t="str">
        <f>VLOOKUP(B28,'3-Plano de Ações'!$D$2:$E$177,2,0)</f>
        <v>Realizar aquisição de Sistema para Gerenciamento de Projetos (MS Project)</v>
      </c>
      <c r="F28" s="139">
        <v>5</v>
      </c>
      <c r="G28" s="139" t="s">
        <v>297</v>
      </c>
      <c r="H28" s="140">
        <v>2000</v>
      </c>
      <c r="I28" s="141">
        <f t="shared" si="0"/>
        <v>10000</v>
      </c>
    </row>
    <row r="29" spans="1:9" ht="30.75" customHeight="1" x14ac:dyDescent="0.25">
      <c r="A29" s="136" t="s">
        <v>145</v>
      </c>
      <c r="B29" s="137" t="s">
        <v>162</v>
      </c>
      <c r="C29" s="125" t="str">
        <f>VLOOKUP(B29,'3-Plano de Ações'!$D$3:$N$177,11,0)</f>
        <v>INVESTIMENTO</v>
      </c>
      <c r="D29" s="138" t="str">
        <f>VLOOKUP(A29,'2-Inventário de Necessidades'!$A$2:$B$63,2,0)</f>
        <v>SISTEMAS DE INFORMAÇÃO</v>
      </c>
      <c r="E29" s="138" t="str">
        <f>VLOOKUP(B29,'3-Plano de Ações'!$D$2:$E$177,2,0)</f>
        <v>Realizar investimento em solução de BI</v>
      </c>
      <c r="F29" s="139">
        <v>1</v>
      </c>
      <c r="G29" s="139" t="s">
        <v>297</v>
      </c>
      <c r="H29" s="140">
        <v>520000</v>
      </c>
      <c r="I29" s="141">
        <f t="shared" si="0"/>
        <v>520000</v>
      </c>
    </row>
    <row r="30" spans="1:9" ht="30.75" customHeight="1" x14ac:dyDescent="0.25">
      <c r="A30" s="136" t="s">
        <v>145</v>
      </c>
      <c r="B30" s="137" t="s">
        <v>163</v>
      </c>
      <c r="C30" s="125" t="e">
        <f>VLOOKUP(B30,'3-Plano de Ações'!$D$3:$N$177,11,0)</f>
        <v>#N/A</v>
      </c>
      <c r="D30" s="138" t="str">
        <f>VLOOKUP(A30,'2-Inventário de Necessidades'!$A$2:$B$63,2,0)</f>
        <v>SISTEMAS DE INFORMAÇÃO</v>
      </c>
      <c r="E30" s="138" t="e">
        <f>VLOOKUP(B30,'3-Plano de Ações'!$D$2:$E$177,2,0)</f>
        <v>#N/A</v>
      </c>
      <c r="F30" s="139">
        <v>1</v>
      </c>
      <c r="G30" s="139" t="s">
        <v>297</v>
      </c>
      <c r="H30" s="140">
        <v>8000</v>
      </c>
      <c r="I30" s="141">
        <f t="shared" si="0"/>
        <v>8000</v>
      </c>
    </row>
    <row r="31" spans="1:9" ht="30.75" customHeight="1" x14ac:dyDescent="0.25">
      <c r="A31" s="136" t="s">
        <v>145</v>
      </c>
      <c r="B31" s="137" t="s">
        <v>164</v>
      </c>
      <c r="C31" s="125" t="e">
        <f>VLOOKUP(B31,'3-Plano de Ações'!$D$3:$N$177,11,0)</f>
        <v>#N/A</v>
      </c>
      <c r="D31" s="138" t="str">
        <f>VLOOKUP(A31,'2-Inventário de Necessidades'!$A$2:$B$63,2,0)</f>
        <v>SISTEMAS DE INFORMAÇÃO</v>
      </c>
      <c r="E31" s="138" t="e">
        <f>VLOOKUP(B31,'3-Plano de Ações'!$D$2:$E$177,2,0)</f>
        <v>#N/A</v>
      </c>
      <c r="F31" s="139">
        <v>12</v>
      </c>
      <c r="G31" s="139" t="s">
        <v>297</v>
      </c>
      <c r="H31" s="140">
        <v>1000</v>
      </c>
      <c r="I31" s="141">
        <f t="shared" si="0"/>
        <v>12000</v>
      </c>
    </row>
    <row r="32" spans="1:9" ht="30.75" customHeight="1" x14ac:dyDescent="0.25">
      <c r="A32" s="136" t="s">
        <v>167</v>
      </c>
      <c r="B32" s="137" t="s">
        <v>165</v>
      </c>
      <c r="C32" s="125" t="str">
        <f>VLOOKUP(B32,'3-Plano de Ações'!$D$3:$N$177,11,0)</f>
        <v>INVESTIMENTO</v>
      </c>
      <c r="D32" s="138" t="str">
        <f>VLOOKUP(A32,'2-Inventário de Necessidades'!$A$2:$B$63,2,0)</f>
        <v>SERVIÇOS DE TI</v>
      </c>
      <c r="E32" s="138" t="str">
        <f>VLOOKUP(B32,'3-Plano de Ações'!$D$2:$E$177,2,0)</f>
        <v>Realizar aquisição de Software de digitalização de documento com OCR (Kodak Pro)</v>
      </c>
      <c r="F32" s="139">
        <v>5</v>
      </c>
      <c r="G32" s="139" t="s">
        <v>297</v>
      </c>
      <c r="H32" s="140">
        <v>2000</v>
      </c>
      <c r="I32" s="141">
        <f t="shared" si="0"/>
        <v>10000</v>
      </c>
    </row>
    <row r="33" spans="1:9" ht="30.75" customHeight="1" x14ac:dyDescent="0.25">
      <c r="A33" s="136" t="s">
        <v>167</v>
      </c>
      <c r="B33" s="137" t="s">
        <v>840</v>
      </c>
      <c r="C33" s="125" t="str">
        <f>VLOOKUP(B33,'3-Plano de Ações'!$D$3:$N$177,11,0)</f>
        <v>INVESTIMENTO</v>
      </c>
      <c r="D33" s="138" t="str">
        <f>VLOOKUP(A33,'2-Inventário de Necessidades'!$A$2:$B$63,2,0)</f>
        <v>SERVIÇOS DE TI</v>
      </c>
      <c r="E33" s="138" t="str">
        <f>VLOOKUP(B33,'3-Plano de Ações'!$D$2:$E$177,2,0)</f>
        <v>Realizar aquisição de Software Antivírus</v>
      </c>
      <c r="F33" s="139">
        <v>500</v>
      </c>
      <c r="G33" s="139" t="s">
        <v>297</v>
      </c>
      <c r="H33" s="140">
        <v>90</v>
      </c>
      <c r="I33" s="141">
        <f t="shared" si="0"/>
        <v>45000</v>
      </c>
    </row>
    <row r="34" spans="1:9" ht="30.75" customHeight="1" x14ac:dyDescent="0.25">
      <c r="A34" s="136" t="s">
        <v>172</v>
      </c>
      <c r="B34" s="137" t="s">
        <v>170</v>
      </c>
      <c r="C34" s="125" t="str">
        <f>VLOOKUP(B34,'3-Plano de Ações'!$D$3:$N$177,11,0)</f>
        <v>INVESTIMENTO</v>
      </c>
      <c r="D34" s="138" t="str">
        <f>VLOOKUP(A34,'2-Inventário de Necessidades'!$A$2:$B$63,2,0)</f>
        <v>SISTEMAS DE INFORMAÇÃO</v>
      </c>
      <c r="E34" s="138" t="str">
        <f>VLOOKUP(B34,'3-Plano de Ações'!$D$2:$E$177,2,0)</f>
        <v>Realizar aquisição de solução de armazenamento em nuvem ( Google Apps for Work)</v>
      </c>
      <c r="F34" s="139">
        <v>500</v>
      </c>
      <c r="G34" s="139" t="s">
        <v>297</v>
      </c>
      <c r="H34" s="140">
        <v>90</v>
      </c>
      <c r="I34" s="141">
        <f t="shared" si="0"/>
        <v>45000</v>
      </c>
    </row>
    <row r="35" spans="1:9" ht="30.75" customHeight="1" x14ac:dyDescent="0.25">
      <c r="A35" s="136" t="s">
        <v>195</v>
      </c>
      <c r="B35" s="137" t="s">
        <v>193</v>
      </c>
      <c r="C35" s="125" t="str">
        <f>VLOOKUP(B35,'3-Plano de Ações'!$D$3:$N$177,11,0)</f>
        <v>INVESTIMENTO</v>
      </c>
      <c r="D35" s="138" t="str">
        <f>VLOOKUP(A35,'2-Inventário de Necessidades'!$A$2:$B$63,2,0)</f>
        <v>SISTEMAS DE INFORMAÇÃO</v>
      </c>
      <c r="E35" s="138" t="str">
        <f>VLOOKUP(B35,'3-Plano de Ações'!$D$2:$E$177,2,0)</f>
        <v>Realizar aquisição de solução de Portal Corporativo e ferramentas de colaboração e de socialização (Liferay)</v>
      </c>
      <c r="F35" s="139">
        <v>1</v>
      </c>
      <c r="G35" s="139" t="s">
        <v>297</v>
      </c>
      <c r="H35" s="140">
        <v>230000</v>
      </c>
      <c r="I35" s="141">
        <f t="shared" si="0"/>
        <v>230000</v>
      </c>
    </row>
    <row r="36" spans="1:9" ht="30.75" customHeight="1" x14ac:dyDescent="0.25">
      <c r="A36" s="136" t="s">
        <v>202</v>
      </c>
      <c r="B36" s="137" t="s">
        <v>200</v>
      </c>
      <c r="C36" s="125" t="str">
        <f>VLOOKUP(B36,'3-Plano de Ações'!$D$3:$N$177,11,0)</f>
        <v>INVESTIMENTO</v>
      </c>
      <c r="D36" s="138" t="str">
        <f>VLOOKUP(A36,'2-Inventário de Necessidades'!$A$2:$B$63,2,0)</f>
        <v>SISTEMAS DE INFORMAÇÃO</v>
      </c>
      <c r="E36" s="138" t="str">
        <f>VLOOKUP(B36,'3-Plano de Ações'!$D$2:$E$177,2,0)</f>
        <v>Avaliar alternativa para instalação de Equipamentos para Transmissão das Sessões Plenárias - NOVA SEDE</v>
      </c>
      <c r="F36" s="139">
        <v>1</v>
      </c>
      <c r="G36" s="139" t="s">
        <v>297</v>
      </c>
      <c r="H36" s="140">
        <v>20000</v>
      </c>
      <c r="I36" s="141">
        <f t="shared" si="0"/>
        <v>20000</v>
      </c>
    </row>
    <row r="37" spans="1:9" ht="30.75" customHeight="1" x14ac:dyDescent="0.25">
      <c r="A37" s="136" t="s">
        <v>204</v>
      </c>
      <c r="B37" s="137" t="s">
        <v>838</v>
      </c>
      <c r="C37" s="125" t="str">
        <f>VLOOKUP(B37,'3-Plano de Ações'!$D$3:$N$177,11,0)</f>
        <v>INVESTIMENTO</v>
      </c>
      <c r="D37" s="138" t="e">
        <f>VLOOKUP(A37,'2-Inventário de Necessidades'!$A$2:$B$63,2,0)</f>
        <v>#N/A</v>
      </c>
      <c r="E37" s="138" t="str">
        <f>VLOOKUP(B37,'3-Plano de Ações'!$D$2:$E$177,2,0)</f>
        <v>Realizar aquisição de Equipamentos para Transmissão das Sessões Plenárias - NOVA SEDE</v>
      </c>
      <c r="F37" s="139">
        <v>1</v>
      </c>
      <c r="G37" s="139" t="s">
        <v>297</v>
      </c>
      <c r="H37" s="140">
        <v>30000</v>
      </c>
      <c r="I37" s="141">
        <f t="shared" si="0"/>
        <v>30000</v>
      </c>
    </row>
    <row r="38" spans="1:9" ht="30.75" customHeight="1" x14ac:dyDescent="0.25">
      <c r="A38" s="136" t="s">
        <v>781</v>
      </c>
      <c r="B38" s="137" t="s">
        <v>839</v>
      </c>
      <c r="C38" s="125" t="str">
        <f>VLOOKUP(B38,'3-Plano de Ações'!$D$3:$N$177,11,0)</f>
        <v>PROCESSO INTERNO</v>
      </c>
      <c r="D38" s="138" t="str">
        <f>VLOOKUP(A38,'2-Inventário de Necessidades'!$A$2:$B$63,2,0)</f>
        <v>GOVERNANÇA E GESTÃO DE TI</v>
      </c>
      <c r="E38" s="138" t="str">
        <f>VLOOKUP(B38,'3-Plano de Ações'!$D$2:$E$177,2,0)</f>
        <v>Gerenciar contratação de outsourcing de impressoras</v>
      </c>
      <c r="F38" s="139">
        <v>36</v>
      </c>
      <c r="G38" s="139" t="s">
        <v>294</v>
      </c>
      <c r="H38" s="140">
        <v>20000</v>
      </c>
      <c r="I38" s="141">
        <f t="shared" ref="I38" si="1">F38*H38</f>
        <v>720000</v>
      </c>
    </row>
    <row r="39" spans="1:9" ht="30.75" customHeight="1" x14ac:dyDescent="0.25">
      <c r="A39" s="136" t="s">
        <v>911</v>
      </c>
      <c r="B39" s="137" t="s">
        <v>923</v>
      </c>
      <c r="C39" s="125" t="str">
        <f>VLOOKUP(B39,'3-Plano de Ações'!$D$3:$N$177,11,0)</f>
        <v>INVESTIMENTO</v>
      </c>
      <c r="D39" s="138" t="str">
        <f>VLOOKUP(A39,'2-Inventário de Necessidades'!$A$2:$B$63,2,0)</f>
        <v>SISTEMAS DE INFORMAÇÃO</v>
      </c>
      <c r="E39" s="138" t="str">
        <f>VLOOKUP(B39,'3-Plano de Ações'!$D$2:$E$177,2,0)</f>
        <v>Prover solução de gestão corporativa de riscos</v>
      </c>
      <c r="F39" s="139">
        <v>1</v>
      </c>
      <c r="G39" s="139" t="s">
        <v>294</v>
      </c>
      <c r="H39" s="140">
        <v>100000</v>
      </c>
      <c r="I39" s="141">
        <f t="shared" si="0"/>
        <v>100000</v>
      </c>
    </row>
    <row r="40" spans="1:9" ht="15" customHeight="1" thickBot="1" x14ac:dyDescent="0.3"/>
    <row r="41" spans="1:9" ht="15" customHeight="1" thickBot="1" x14ac:dyDescent="0.3">
      <c r="D41" s="98" t="s">
        <v>856</v>
      </c>
      <c r="E41" s="98" t="s">
        <v>368</v>
      </c>
      <c r="F41" s="98" t="s">
        <v>370</v>
      </c>
      <c r="G41" s="98" t="s">
        <v>855</v>
      </c>
      <c r="H41" s="98" t="s">
        <v>301</v>
      </c>
      <c r="I41" s="99">
        <f>SUM(I3:I39)</f>
        <v>15689271.15</v>
      </c>
    </row>
    <row r="42" spans="1:9" ht="15" customHeight="1" thickBot="1" x14ac:dyDescent="0.3">
      <c r="D42" s="118" t="s">
        <v>16</v>
      </c>
      <c r="E42" s="100">
        <f>COUNTIF($D$3:$D$39,D42)</f>
        <v>21</v>
      </c>
      <c r="F42" s="134">
        <f>'2-Inventário de Necessidades'!D66</f>
        <v>0.7</v>
      </c>
      <c r="G42" s="135">
        <f>E42*F42</f>
        <v>14.7</v>
      </c>
    </row>
    <row r="43" spans="1:9" ht="15" customHeight="1" thickBot="1" x14ac:dyDescent="0.3">
      <c r="D43" s="118" t="s">
        <v>48</v>
      </c>
      <c r="E43" s="100">
        <f t="shared" ref="E43:E46" si="2">COUNTIF($D$3:$D$39,D43)</f>
        <v>3</v>
      </c>
      <c r="F43" s="134">
        <f>'2-Inventário de Necessidades'!D67</f>
        <v>0.7</v>
      </c>
      <c r="G43" s="135">
        <f t="shared" ref="G43:G46" si="3">E43*F43</f>
        <v>2.0999999999999996</v>
      </c>
    </row>
    <row r="44" spans="1:9" ht="15" customHeight="1" thickBot="1" x14ac:dyDescent="0.3">
      <c r="D44" s="118" t="s">
        <v>33</v>
      </c>
      <c r="E44" s="100">
        <f t="shared" si="2"/>
        <v>8</v>
      </c>
      <c r="F44" s="134">
        <f>'2-Inventário de Necessidades'!D68</f>
        <v>0.9</v>
      </c>
      <c r="G44" s="135">
        <f t="shared" si="3"/>
        <v>7.2</v>
      </c>
    </row>
    <row r="45" spans="1:9" ht="15" customHeight="1" thickBot="1" x14ac:dyDescent="0.3">
      <c r="D45" s="118" t="s">
        <v>55</v>
      </c>
      <c r="E45" s="100">
        <f t="shared" si="2"/>
        <v>0</v>
      </c>
      <c r="F45" s="134">
        <f>'2-Inventário de Necessidades'!D69</f>
        <v>1</v>
      </c>
      <c r="G45" s="135">
        <f t="shared" si="3"/>
        <v>0</v>
      </c>
    </row>
    <row r="46" spans="1:9" ht="15" customHeight="1" thickBot="1" x14ac:dyDescent="0.3">
      <c r="D46" s="118" t="s">
        <v>21</v>
      </c>
      <c r="E46" s="100">
        <f t="shared" si="2"/>
        <v>4</v>
      </c>
      <c r="F46" s="134">
        <f>'2-Inventário de Necessidades'!D70</f>
        <v>0.9</v>
      </c>
      <c r="G46" s="135">
        <f t="shared" si="3"/>
        <v>3.6</v>
      </c>
    </row>
    <row r="47" spans="1:9" ht="15" customHeight="1" thickBot="1" x14ac:dyDescent="0.3">
      <c r="D47" s="104" t="s">
        <v>301</v>
      </c>
      <c r="E47" s="105">
        <f>SUM(E42:E46)</f>
        <v>36</v>
      </c>
      <c r="F47" s="107">
        <f>G47/E47</f>
        <v>0.76666666666666661</v>
      </c>
      <c r="G47" s="106">
        <f>SUM(G42:G46)</f>
        <v>27.599999999999998</v>
      </c>
    </row>
    <row r="48" spans="1:9" ht="15" customHeight="1" thickBot="1" x14ac:dyDescent="0.3"/>
    <row r="49" spans="4:5" ht="15" customHeight="1" thickBot="1" x14ac:dyDescent="0.3">
      <c r="D49" s="98" t="s">
        <v>367</v>
      </c>
      <c r="E49" s="98" t="s">
        <v>368</v>
      </c>
    </row>
    <row r="50" spans="4:5" ht="15" customHeight="1" thickBot="1" x14ac:dyDescent="0.3">
      <c r="D50" s="118" t="s">
        <v>293</v>
      </c>
      <c r="E50" s="100">
        <f>COUNTIF($C$3:$C$39,D50)</f>
        <v>3</v>
      </c>
    </row>
    <row r="51" spans="4:5" ht="15" customHeight="1" thickBot="1" x14ac:dyDescent="0.3">
      <c r="D51" s="118" t="s">
        <v>296</v>
      </c>
      <c r="E51" s="100">
        <f>COUNTIF($C$3:$C$39,D51)</f>
        <v>31</v>
      </c>
    </row>
    <row r="52" spans="4:5" ht="15" customHeight="1" x14ac:dyDescent="0.25"/>
    <row r="53" spans="4:5" ht="15" customHeight="1" x14ac:dyDescent="0.25"/>
    <row r="54" spans="4:5" ht="15" customHeight="1" x14ac:dyDescent="0.25"/>
    <row r="55" spans="4:5" ht="15" customHeight="1" x14ac:dyDescent="0.25"/>
    <row r="56" spans="4:5" ht="15" customHeight="1" x14ac:dyDescent="0.25"/>
    <row r="57" spans="4:5" ht="15" customHeight="1" x14ac:dyDescent="0.25"/>
    <row r="58" spans="4:5" ht="15" customHeight="1" x14ac:dyDescent="0.25"/>
    <row r="59" spans="4:5" ht="15" customHeight="1" x14ac:dyDescent="0.25"/>
    <row r="60" spans="4:5" ht="15" customHeight="1" x14ac:dyDescent="0.25"/>
  </sheetData>
  <autoFilter ref="A2:I39">
    <sortState ref="A3:H38">
      <sortCondition ref="B2:B38"/>
    </sortState>
  </autoFilter>
  <customSheetViews>
    <customSheetView guid="{6DFBCBA6-E327-48F2-941C-44ACD0154C7D}" scale="85" fitToPage="1" showAutoFilter="1" topLeftCell="A28">
      <selection activeCell="E1" sqref="A1:I1"/>
      <pageMargins left="0.511811024" right="0.511811024" top="0.78740157499999996" bottom="0.78740157499999996" header="0.31496062000000002" footer="0.31496062000000002"/>
      <pageSetup paperSize="9" scale="58" fitToHeight="0" orientation="landscape" r:id="rId1"/>
      <autoFilter ref="A2:I39">
        <sortState ref="A3:H38">
          <sortCondition ref="B2:B38"/>
        </sortState>
      </autoFilter>
    </customSheetView>
    <customSheetView guid="{9DA56328-1E02-4631-BF3A-66F8FD0B96FD}" scale="85" fitToPage="1" showAutoFilter="1" topLeftCell="A28">
      <selection activeCell="E1" sqref="A1:I1"/>
      <pageMargins left="0.511811024" right="0.511811024" top="0.78740157499999996" bottom="0.78740157499999996" header="0.31496062000000002" footer="0.31496062000000002"/>
      <pageSetup paperSize="9" scale="58" fitToHeight="0" orientation="landscape" r:id="rId2"/>
      <autoFilter ref="A2:I39">
        <sortState ref="A3:H38">
          <sortCondition ref="B2:B38"/>
        </sortState>
      </autoFilter>
    </customSheetView>
  </customSheetViews>
  <mergeCells count="1">
    <mergeCell ref="E1:I1"/>
  </mergeCells>
  <pageMargins left="0.511811024" right="0.511811024" top="0.78740157499999996" bottom="0.78740157499999996" header="0.31496062000000002" footer="0.31496062000000002"/>
  <pageSetup paperSize="9" scale="58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selection activeCell="D32" sqref="D32"/>
    </sheetView>
  </sheetViews>
  <sheetFormatPr defaultColWidth="30.7109375" defaultRowHeight="24.95" customHeight="1" x14ac:dyDescent="0.2"/>
  <cols>
    <col min="1" max="1" width="9" style="93" customWidth="1"/>
    <col min="2" max="2" width="29.7109375" style="93" customWidth="1"/>
    <col min="3" max="3" width="60.7109375" style="93" customWidth="1"/>
    <col min="4" max="4" width="11.28515625" style="93" customWidth="1"/>
    <col min="5" max="5" width="12.7109375" style="93" customWidth="1"/>
    <col min="6" max="6" width="18.28515625" style="93" customWidth="1"/>
    <col min="7" max="7" width="15.5703125" style="93" customWidth="1"/>
    <col min="8" max="8" width="82.5703125" style="112" customWidth="1"/>
    <col min="9" max="16384" width="30.7109375" style="93"/>
  </cols>
  <sheetData>
    <row r="1" spans="1:8" s="112" customFormat="1" ht="39.950000000000003" customHeight="1" x14ac:dyDescent="0.25">
      <c r="B1" s="202" t="s">
        <v>968</v>
      </c>
      <c r="C1" s="173"/>
      <c r="D1" s="173"/>
      <c r="E1" s="173"/>
      <c r="F1" s="173"/>
      <c r="G1" s="173"/>
      <c r="H1" s="173"/>
    </row>
    <row r="2" spans="1:8" s="112" customFormat="1" ht="39.950000000000003" customHeight="1" thickBot="1" x14ac:dyDescent="0.3">
      <c r="A2" s="131" t="s">
        <v>1114</v>
      </c>
      <c r="B2" s="131" t="s">
        <v>302</v>
      </c>
      <c r="C2" s="131" t="s">
        <v>303</v>
      </c>
      <c r="D2" s="131" t="s">
        <v>1115</v>
      </c>
      <c r="E2" s="131" t="s">
        <v>1116</v>
      </c>
      <c r="F2" s="131" t="s">
        <v>289</v>
      </c>
      <c r="G2" s="131" t="s">
        <v>290</v>
      </c>
      <c r="H2" s="131" t="s">
        <v>304</v>
      </c>
    </row>
    <row r="3" spans="1:8" ht="39.950000000000003" customHeight="1" thickBot="1" x14ac:dyDescent="0.25">
      <c r="A3" s="143">
        <v>1</v>
      </c>
      <c r="B3" s="142" t="s">
        <v>305</v>
      </c>
      <c r="C3" s="142" t="s">
        <v>361</v>
      </c>
      <c r="D3" s="143">
        <v>2</v>
      </c>
      <c r="E3" s="211"/>
      <c r="F3" s="144">
        <v>1520</v>
      </c>
      <c r="G3" s="144">
        <f>D3*F3</f>
        <v>3040</v>
      </c>
      <c r="H3" s="142" t="s">
        <v>306</v>
      </c>
    </row>
    <row r="4" spans="1:8" ht="39.950000000000003" customHeight="1" thickBot="1" x14ac:dyDescent="0.25">
      <c r="A4" s="143">
        <v>2</v>
      </c>
      <c r="B4" s="142" t="s">
        <v>305</v>
      </c>
      <c r="C4" s="142" t="s">
        <v>362</v>
      </c>
      <c r="D4" s="143">
        <v>4</v>
      </c>
      <c r="E4" s="211"/>
      <c r="F4" s="144">
        <v>445</v>
      </c>
      <c r="G4" s="144">
        <f t="shared" ref="G4:G31" si="0">D4*F4</f>
        <v>1780</v>
      </c>
      <c r="H4" s="142" t="s">
        <v>307</v>
      </c>
    </row>
    <row r="5" spans="1:8" ht="39.950000000000003" customHeight="1" thickBot="1" x14ac:dyDescent="0.25">
      <c r="A5" s="143">
        <v>3</v>
      </c>
      <c r="B5" s="142" t="s">
        <v>305</v>
      </c>
      <c r="C5" s="142" t="s">
        <v>308</v>
      </c>
      <c r="D5" s="143">
        <v>3</v>
      </c>
      <c r="E5" s="211"/>
      <c r="F5" s="144">
        <v>1590</v>
      </c>
      <c r="G5" s="144">
        <f t="shared" si="0"/>
        <v>4770</v>
      </c>
      <c r="H5" s="142" t="s">
        <v>309</v>
      </c>
    </row>
    <row r="6" spans="1:8" ht="39.950000000000003" customHeight="1" thickBot="1" x14ac:dyDescent="0.25">
      <c r="A6" s="143">
        <v>4</v>
      </c>
      <c r="B6" s="142" t="s">
        <v>305</v>
      </c>
      <c r="C6" s="142" t="s">
        <v>310</v>
      </c>
      <c r="D6" s="143">
        <v>2</v>
      </c>
      <c r="E6" s="211"/>
      <c r="F6" s="144">
        <v>1650</v>
      </c>
      <c r="G6" s="144">
        <f t="shared" si="0"/>
        <v>3300</v>
      </c>
      <c r="H6" s="142" t="s">
        <v>311</v>
      </c>
    </row>
    <row r="7" spans="1:8" ht="39.950000000000003" customHeight="1" thickBot="1" x14ac:dyDescent="0.25">
      <c r="A7" s="143">
        <v>5</v>
      </c>
      <c r="B7" s="142" t="s">
        <v>305</v>
      </c>
      <c r="C7" s="142" t="s">
        <v>312</v>
      </c>
      <c r="D7" s="143">
        <v>3</v>
      </c>
      <c r="E7" s="211"/>
      <c r="F7" s="144">
        <v>1580</v>
      </c>
      <c r="G7" s="144">
        <f t="shared" si="0"/>
        <v>4740</v>
      </c>
      <c r="H7" s="142" t="s">
        <v>313</v>
      </c>
    </row>
    <row r="8" spans="1:8" ht="39.950000000000003" customHeight="1" thickBot="1" x14ac:dyDescent="0.25">
      <c r="A8" s="143">
        <v>6</v>
      </c>
      <c r="B8" s="142" t="s">
        <v>305</v>
      </c>
      <c r="C8" s="142" t="s">
        <v>314</v>
      </c>
      <c r="D8" s="143">
        <v>2</v>
      </c>
      <c r="E8" s="211"/>
      <c r="F8" s="144">
        <v>1440</v>
      </c>
      <c r="G8" s="144">
        <f t="shared" si="0"/>
        <v>2880</v>
      </c>
      <c r="H8" s="142" t="s">
        <v>315</v>
      </c>
    </row>
    <row r="9" spans="1:8" ht="39.950000000000003" customHeight="1" thickBot="1" x14ac:dyDescent="0.25">
      <c r="A9" s="143">
        <v>7</v>
      </c>
      <c r="B9" s="142" t="s">
        <v>305</v>
      </c>
      <c r="C9" s="142" t="s">
        <v>316</v>
      </c>
      <c r="D9" s="143">
        <v>3</v>
      </c>
      <c r="E9" s="211"/>
      <c r="F9" s="144">
        <v>1890</v>
      </c>
      <c r="G9" s="144">
        <f t="shared" si="0"/>
        <v>5670</v>
      </c>
      <c r="H9" s="142" t="s">
        <v>317</v>
      </c>
    </row>
    <row r="10" spans="1:8" ht="39.950000000000003" customHeight="1" thickBot="1" x14ac:dyDescent="0.25">
      <c r="A10" s="143">
        <v>8</v>
      </c>
      <c r="B10" s="142" t="s">
        <v>305</v>
      </c>
      <c r="C10" s="142" t="s">
        <v>318</v>
      </c>
      <c r="D10" s="143">
        <v>2</v>
      </c>
      <c r="E10" s="211"/>
      <c r="F10" s="144">
        <v>1920</v>
      </c>
      <c r="G10" s="144">
        <f t="shared" si="0"/>
        <v>3840</v>
      </c>
      <c r="H10" s="142" t="s">
        <v>319</v>
      </c>
    </row>
    <row r="11" spans="1:8" ht="39.950000000000003" customHeight="1" thickBot="1" x14ac:dyDescent="0.25">
      <c r="A11" s="143">
        <v>9</v>
      </c>
      <c r="B11" s="142" t="s">
        <v>305</v>
      </c>
      <c r="C11" s="142" t="s">
        <v>320</v>
      </c>
      <c r="D11" s="143">
        <v>4</v>
      </c>
      <c r="E11" s="211"/>
      <c r="F11" s="144">
        <v>0</v>
      </c>
      <c r="G11" s="144">
        <f t="shared" si="0"/>
        <v>0</v>
      </c>
      <c r="H11" s="142" t="s">
        <v>363</v>
      </c>
    </row>
    <row r="12" spans="1:8" ht="39.950000000000003" customHeight="1" thickBot="1" x14ac:dyDescent="0.25">
      <c r="A12" s="143">
        <v>10</v>
      </c>
      <c r="B12" s="142" t="s">
        <v>305</v>
      </c>
      <c r="C12" s="142" t="s">
        <v>321</v>
      </c>
      <c r="D12" s="143">
        <v>4</v>
      </c>
      <c r="E12" s="211"/>
      <c r="F12" s="144">
        <v>0</v>
      </c>
      <c r="G12" s="144">
        <f t="shared" si="0"/>
        <v>0</v>
      </c>
      <c r="H12" s="142" t="s">
        <v>363</v>
      </c>
    </row>
    <row r="13" spans="1:8" ht="39.950000000000003" customHeight="1" thickBot="1" x14ac:dyDescent="0.25">
      <c r="A13" s="143">
        <v>11</v>
      </c>
      <c r="B13" s="142" t="s">
        <v>305</v>
      </c>
      <c r="C13" s="142" t="s">
        <v>322</v>
      </c>
      <c r="D13" s="143">
        <v>2</v>
      </c>
      <c r="E13" s="211"/>
      <c r="F13" s="144">
        <v>600</v>
      </c>
      <c r="G13" s="144">
        <f t="shared" si="0"/>
        <v>1200</v>
      </c>
      <c r="H13" s="142" t="s">
        <v>323</v>
      </c>
    </row>
    <row r="14" spans="1:8" ht="39.950000000000003" customHeight="1" thickBot="1" x14ac:dyDescent="0.25">
      <c r="A14" s="143">
        <v>12</v>
      </c>
      <c r="B14" s="142" t="s">
        <v>305</v>
      </c>
      <c r="C14" s="142" t="s">
        <v>324</v>
      </c>
      <c r="D14" s="143">
        <v>2</v>
      </c>
      <c r="E14" s="211"/>
      <c r="F14" s="144">
        <v>3000</v>
      </c>
      <c r="G14" s="144">
        <f t="shared" si="0"/>
        <v>6000</v>
      </c>
      <c r="H14" s="142" t="s">
        <v>325</v>
      </c>
    </row>
    <row r="15" spans="1:8" ht="39.950000000000003" customHeight="1" thickBot="1" x14ac:dyDescent="0.25">
      <c r="A15" s="143">
        <v>13</v>
      </c>
      <c r="B15" s="142" t="s">
        <v>305</v>
      </c>
      <c r="C15" s="142" t="s">
        <v>326</v>
      </c>
      <c r="D15" s="143">
        <v>2</v>
      </c>
      <c r="E15" s="211"/>
      <c r="F15" s="144">
        <v>2750</v>
      </c>
      <c r="G15" s="144">
        <f t="shared" si="0"/>
        <v>5500</v>
      </c>
      <c r="H15" s="142" t="s">
        <v>327</v>
      </c>
    </row>
    <row r="16" spans="1:8" ht="39.950000000000003" customHeight="1" thickBot="1" x14ac:dyDescent="0.25">
      <c r="A16" s="143">
        <v>14</v>
      </c>
      <c r="B16" s="142" t="s">
        <v>305</v>
      </c>
      <c r="C16" s="142" t="s">
        <v>328</v>
      </c>
      <c r="D16" s="143">
        <v>2</v>
      </c>
      <c r="E16" s="211"/>
      <c r="F16" s="144">
        <v>1920</v>
      </c>
      <c r="G16" s="144">
        <f t="shared" si="0"/>
        <v>3840</v>
      </c>
      <c r="H16" s="142" t="s">
        <v>329</v>
      </c>
    </row>
    <row r="17" spans="1:8" ht="39.950000000000003" customHeight="1" thickBot="1" x14ac:dyDescent="0.25">
      <c r="A17" s="143">
        <v>15</v>
      </c>
      <c r="B17" s="142" t="s">
        <v>305</v>
      </c>
      <c r="C17" s="142" t="s">
        <v>330</v>
      </c>
      <c r="D17" s="143">
        <v>2</v>
      </c>
      <c r="E17" s="211"/>
      <c r="F17" s="144">
        <v>890</v>
      </c>
      <c r="G17" s="144">
        <f t="shared" si="0"/>
        <v>1780</v>
      </c>
      <c r="H17" s="142" t="s">
        <v>331</v>
      </c>
    </row>
    <row r="18" spans="1:8" ht="39.950000000000003" customHeight="1" thickBot="1" x14ac:dyDescent="0.25">
      <c r="A18" s="143">
        <v>16</v>
      </c>
      <c r="B18" s="142" t="s">
        <v>305</v>
      </c>
      <c r="C18" s="142" t="s">
        <v>332</v>
      </c>
      <c r="D18" s="143">
        <v>4</v>
      </c>
      <c r="E18" s="211"/>
      <c r="F18" s="144">
        <v>445</v>
      </c>
      <c r="G18" s="144">
        <f t="shared" si="0"/>
        <v>1780</v>
      </c>
      <c r="H18" s="142" t="s">
        <v>333</v>
      </c>
    </row>
    <row r="19" spans="1:8" ht="39.950000000000003" customHeight="1" thickBot="1" x14ac:dyDescent="0.25">
      <c r="A19" s="143">
        <v>17</v>
      </c>
      <c r="B19" s="142" t="s">
        <v>33</v>
      </c>
      <c r="C19" s="142" t="s">
        <v>334</v>
      </c>
      <c r="D19" s="143">
        <v>1</v>
      </c>
      <c r="E19" s="211"/>
      <c r="F19" s="144">
        <v>2389</v>
      </c>
      <c r="G19" s="144">
        <f t="shared" si="0"/>
        <v>2389</v>
      </c>
      <c r="H19" s="142" t="s">
        <v>335</v>
      </c>
    </row>
    <row r="20" spans="1:8" ht="39.950000000000003" customHeight="1" thickBot="1" x14ac:dyDescent="0.25">
      <c r="A20" s="143">
        <v>18</v>
      </c>
      <c r="B20" s="142" t="s">
        <v>33</v>
      </c>
      <c r="C20" s="142" t="s">
        <v>336</v>
      </c>
      <c r="D20" s="143">
        <v>2</v>
      </c>
      <c r="E20" s="211"/>
      <c r="F20" s="144">
        <v>1920</v>
      </c>
      <c r="G20" s="144">
        <f t="shared" si="0"/>
        <v>3840</v>
      </c>
      <c r="H20" s="142" t="s">
        <v>337</v>
      </c>
    </row>
    <row r="21" spans="1:8" ht="39.950000000000003" customHeight="1" thickBot="1" x14ac:dyDescent="0.25">
      <c r="A21" s="143">
        <v>19</v>
      </c>
      <c r="B21" s="142" t="s">
        <v>33</v>
      </c>
      <c r="C21" s="142" t="s">
        <v>338</v>
      </c>
      <c r="D21" s="143">
        <v>2</v>
      </c>
      <c r="E21" s="211"/>
      <c r="F21" s="144">
        <v>450</v>
      </c>
      <c r="G21" s="144">
        <f t="shared" si="0"/>
        <v>900</v>
      </c>
      <c r="H21" s="142" t="s">
        <v>339</v>
      </c>
    </row>
    <row r="22" spans="1:8" ht="39.950000000000003" customHeight="1" thickBot="1" x14ac:dyDescent="0.25">
      <c r="A22" s="143">
        <v>20</v>
      </c>
      <c r="B22" s="142" t="s">
        <v>33</v>
      </c>
      <c r="C22" s="142" t="s">
        <v>340</v>
      </c>
      <c r="D22" s="143">
        <v>1</v>
      </c>
      <c r="E22" s="211"/>
      <c r="F22" s="144">
        <v>5406.15</v>
      </c>
      <c r="G22" s="144">
        <f t="shared" si="0"/>
        <v>5406.15</v>
      </c>
      <c r="H22" s="142" t="s">
        <v>341</v>
      </c>
    </row>
    <row r="23" spans="1:8" ht="39.950000000000003" customHeight="1" thickBot="1" x14ac:dyDescent="0.25">
      <c r="A23" s="143">
        <v>21</v>
      </c>
      <c r="B23" s="142" t="s">
        <v>33</v>
      </c>
      <c r="C23" s="142" t="s">
        <v>342</v>
      </c>
      <c r="D23" s="143">
        <v>2</v>
      </c>
      <c r="E23" s="211"/>
      <c r="F23" s="144">
        <v>995</v>
      </c>
      <c r="G23" s="144">
        <f t="shared" si="0"/>
        <v>1990</v>
      </c>
      <c r="H23" s="142" t="s">
        <v>343</v>
      </c>
    </row>
    <row r="24" spans="1:8" ht="39.950000000000003" customHeight="1" thickBot="1" x14ac:dyDescent="0.25">
      <c r="A24" s="143">
        <v>22</v>
      </c>
      <c r="B24" s="142" t="s">
        <v>16</v>
      </c>
      <c r="C24" s="142" t="s">
        <v>344</v>
      </c>
      <c r="D24" s="143">
        <v>2</v>
      </c>
      <c r="E24" s="211"/>
      <c r="F24" s="144">
        <v>899</v>
      </c>
      <c r="G24" s="144">
        <f t="shared" si="0"/>
        <v>1798</v>
      </c>
      <c r="H24" s="142" t="s">
        <v>345</v>
      </c>
    </row>
    <row r="25" spans="1:8" ht="39.950000000000003" customHeight="1" thickBot="1" x14ac:dyDescent="0.25">
      <c r="A25" s="143">
        <v>23</v>
      </c>
      <c r="B25" s="142" t="s">
        <v>16</v>
      </c>
      <c r="C25" s="142" t="s">
        <v>346</v>
      </c>
      <c r="D25" s="143">
        <v>2</v>
      </c>
      <c r="E25" s="211"/>
      <c r="F25" s="144">
        <v>525</v>
      </c>
      <c r="G25" s="144">
        <f t="shared" si="0"/>
        <v>1050</v>
      </c>
      <c r="H25" s="142" t="s">
        <v>347</v>
      </c>
    </row>
    <row r="26" spans="1:8" ht="39.950000000000003" customHeight="1" thickBot="1" x14ac:dyDescent="0.25">
      <c r="A26" s="143">
        <v>24</v>
      </c>
      <c r="B26" s="142" t="s">
        <v>16</v>
      </c>
      <c r="C26" s="142" t="s">
        <v>348</v>
      </c>
      <c r="D26" s="143">
        <v>2</v>
      </c>
      <c r="E26" s="211"/>
      <c r="F26" s="144">
        <v>750</v>
      </c>
      <c r="G26" s="144">
        <f t="shared" si="0"/>
        <v>1500</v>
      </c>
      <c r="H26" s="142" t="s">
        <v>349</v>
      </c>
    </row>
    <row r="27" spans="1:8" ht="39.950000000000003" customHeight="1" thickBot="1" x14ac:dyDescent="0.25">
      <c r="A27" s="143">
        <v>25</v>
      </c>
      <c r="B27" s="142" t="s">
        <v>16</v>
      </c>
      <c r="C27" s="142" t="s">
        <v>350</v>
      </c>
      <c r="D27" s="143">
        <v>2</v>
      </c>
      <c r="E27" s="211"/>
      <c r="F27" s="144">
        <v>1900</v>
      </c>
      <c r="G27" s="144">
        <f t="shared" si="0"/>
        <v>3800</v>
      </c>
      <c r="H27" s="142" t="s">
        <v>351</v>
      </c>
    </row>
    <row r="28" spans="1:8" ht="39.950000000000003" customHeight="1" thickBot="1" x14ac:dyDescent="0.25">
      <c r="A28" s="143">
        <v>26</v>
      </c>
      <c r="B28" s="142" t="s">
        <v>16</v>
      </c>
      <c r="C28" s="142" t="s">
        <v>352</v>
      </c>
      <c r="D28" s="143">
        <v>2</v>
      </c>
      <c r="E28" s="211"/>
      <c r="F28" s="144">
        <v>999</v>
      </c>
      <c r="G28" s="144">
        <f t="shared" si="0"/>
        <v>1998</v>
      </c>
      <c r="H28" s="142" t="s">
        <v>353</v>
      </c>
    </row>
    <row r="29" spans="1:8" ht="39.950000000000003" customHeight="1" thickBot="1" x14ac:dyDescent="0.25">
      <c r="A29" s="143">
        <v>27</v>
      </c>
      <c r="B29" s="142" t="s">
        <v>16</v>
      </c>
      <c r="C29" s="142" t="s">
        <v>354</v>
      </c>
      <c r="D29" s="143">
        <v>2</v>
      </c>
      <c r="E29" s="211"/>
      <c r="F29" s="144">
        <v>990</v>
      </c>
      <c r="G29" s="144">
        <f t="shared" si="0"/>
        <v>1980</v>
      </c>
      <c r="H29" s="142" t="s">
        <v>355</v>
      </c>
    </row>
    <row r="30" spans="1:8" ht="39.950000000000003" customHeight="1" thickBot="1" x14ac:dyDescent="0.25">
      <c r="A30" s="143">
        <v>28</v>
      </c>
      <c r="B30" s="145" t="s">
        <v>16</v>
      </c>
      <c r="C30" s="145" t="s">
        <v>784</v>
      </c>
      <c r="D30" s="146">
        <v>3</v>
      </c>
      <c r="E30" s="211">
        <v>3</v>
      </c>
      <c r="F30" s="147">
        <v>2500</v>
      </c>
      <c r="G30" s="147">
        <f>D30*F30</f>
        <v>7500</v>
      </c>
      <c r="H30" s="145"/>
    </row>
    <row r="31" spans="1:8" ht="39.950000000000003" customHeight="1" thickBot="1" x14ac:dyDescent="0.25">
      <c r="A31" s="143">
        <v>29</v>
      </c>
      <c r="B31" s="142" t="s">
        <v>356</v>
      </c>
      <c r="C31" s="142" t="s">
        <v>357</v>
      </c>
      <c r="D31" s="143">
        <v>4</v>
      </c>
      <c r="E31" s="211"/>
      <c r="F31" s="144">
        <v>3000</v>
      </c>
      <c r="G31" s="144">
        <f t="shared" si="0"/>
        <v>12000</v>
      </c>
      <c r="H31" s="142"/>
    </row>
    <row r="32" spans="1:8" ht="24.95" customHeight="1" thickBot="1" x14ac:dyDescent="0.25">
      <c r="A32" s="148"/>
      <c r="B32" s="148"/>
      <c r="C32" s="149"/>
      <c r="D32" s="212">
        <f>SUM(D3:D31)</f>
        <v>70</v>
      </c>
      <c r="E32" s="212">
        <f>SUM(E3:E31)</f>
        <v>3</v>
      </c>
      <c r="F32" s="150" t="s">
        <v>358</v>
      </c>
      <c r="G32" s="151">
        <f>SUM(G3:G31)</f>
        <v>96271.15</v>
      </c>
      <c r="H32" s="152"/>
    </row>
    <row r="33" spans="2:3" ht="24.95" customHeight="1" thickBot="1" x14ac:dyDescent="0.25"/>
    <row r="34" spans="2:3" ht="24.95" customHeight="1" thickBot="1" x14ac:dyDescent="0.25">
      <c r="B34" s="98" t="s">
        <v>1117</v>
      </c>
      <c r="C34" s="118" t="s">
        <v>1119</v>
      </c>
    </row>
    <row r="35" spans="2:3" ht="24.95" customHeight="1" thickBot="1" x14ac:dyDescent="0.25">
      <c r="B35" s="98" t="s">
        <v>1118</v>
      </c>
      <c r="C35" s="104">
        <f>COUNTA(E3:E31)</f>
        <v>1</v>
      </c>
    </row>
  </sheetData>
  <customSheetViews>
    <customSheetView guid="{6DFBCBA6-E327-48F2-941C-44ACD0154C7D}" fitToPage="1" topLeftCell="A25">
      <selection activeCell="E37" sqref="E37"/>
      <pageMargins left="0.511811024" right="0.511811024" top="0.78740157499999996" bottom="0.78740157499999996" header="0.31496062000000002" footer="0.31496062000000002"/>
      <pageSetup paperSize="9" scale="62" fitToHeight="0" orientation="landscape" r:id="rId1"/>
    </customSheetView>
    <customSheetView guid="{9DA56328-1E02-4631-BF3A-66F8FD0B96FD}" fitToPage="1" topLeftCell="A25">
      <selection activeCell="E37" sqref="E37"/>
      <pageMargins left="0.511811024" right="0.511811024" top="0.78740157499999996" bottom="0.78740157499999996" header="0.31496062000000002" footer="0.31496062000000002"/>
      <pageSetup paperSize="9" scale="62" fitToHeight="0" orientation="landscape" r:id="rId2"/>
    </customSheetView>
  </customSheetViews>
  <pageMargins left="0.511811024" right="0.511811024" top="0.78740157499999996" bottom="0.78740157499999996" header="0.31496062000000002" footer="0.31496062000000002"/>
  <pageSetup paperSize="9" scale="56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opLeftCell="D124" zoomScale="70" zoomScaleNormal="70" workbookViewId="0">
      <selection activeCell="G174" sqref="G174"/>
    </sheetView>
  </sheetViews>
  <sheetFormatPr defaultRowHeight="15" x14ac:dyDescent="0.25"/>
  <cols>
    <col min="1" max="1" width="18.5703125" style="29" customWidth="1"/>
    <col min="2" max="2" width="24" style="29" customWidth="1"/>
    <col min="3" max="3" width="124.28515625" style="304" customWidth="1"/>
    <col min="4" max="4" width="14.28515625" style="31" customWidth="1"/>
    <col min="5" max="5" width="18.140625" style="29" customWidth="1"/>
    <col min="6" max="6" width="9.140625" style="29" customWidth="1"/>
    <col min="7" max="7" width="65.7109375" style="29" customWidth="1"/>
    <col min="8" max="16384" width="9.140625" style="29"/>
  </cols>
  <sheetData>
    <row r="1" spans="1:4" x14ac:dyDescent="0.25">
      <c r="A1" s="29" t="s">
        <v>1102</v>
      </c>
    </row>
    <row r="2" spans="1:4" ht="30.75" customHeight="1" x14ac:dyDescent="0.25">
      <c r="A2" s="78" t="s">
        <v>679</v>
      </c>
      <c r="B2" s="78" t="s">
        <v>759</v>
      </c>
      <c r="C2" s="78" t="s">
        <v>207</v>
      </c>
      <c r="D2" s="78" t="s">
        <v>905</v>
      </c>
    </row>
    <row r="3" spans="1:4" x14ac:dyDescent="0.25">
      <c r="A3" s="154" t="s">
        <v>15</v>
      </c>
      <c r="B3" s="153">
        <v>2</v>
      </c>
      <c r="C3" s="138" t="str">
        <f>VLOOKUP(A3,'2-Inventário de Necessidades'!$A$2:$C$63,3)</f>
        <v>Viabilização de solução para atender à Nova Contabilidade do Setor Público</v>
      </c>
      <c r="D3" s="155">
        <f>VLOOKUP(A3,'2-Inventário de Necessidades'!$A$2:$R$63,18)</f>
        <v>0.75</v>
      </c>
    </row>
    <row r="4" spans="1:4" x14ac:dyDescent="0.25">
      <c r="A4" s="154" t="s">
        <v>18</v>
      </c>
      <c r="B4" s="153">
        <v>2</v>
      </c>
      <c r="C4" s="138" t="str">
        <f>VLOOKUP(A4,'2-Inventário de Necessidades'!$A$2:$C$63,3)</f>
        <v>Viabilização de solução para fiscalização de licitações e contratos</v>
      </c>
      <c r="D4" s="155">
        <f>VLOOKUP(A4,'2-Inventário de Necessidades'!$A$2:$R$63,18)</f>
        <v>1</v>
      </c>
    </row>
    <row r="5" spans="1:4" x14ac:dyDescent="0.25">
      <c r="A5" s="154" t="s">
        <v>20</v>
      </c>
      <c r="B5" s="153">
        <v>6</v>
      </c>
      <c r="C5" s="307" t="str">
        <f>VLOOKUP(A5,'2-Inventário de Necessidades'!$A$2:$C$63,3)</f>
        <v>Contratação de serviço técnico especializado em desenvolvimento e manutenção de software,infraestrutura de TI e administração de banco de dados</v>
      </c>
      <c r="D5" s="155">
        <f>VLOOKUP(A5,'2-Inventário de Necessidades'!$A$2:$R$63,18)</f>
        <v>1</v>
      </c>
    </row>
    <row r="6" spans="1:4" x14ac:dyDescent="0.25">
      <c r="A6" s="154" t="s">
        <v>23</v>
      </c>
      <c r="B6" s="153">
        <v>4</v>
      </c>
      <c r="C6" s="138" t="str">
        <f>VLOOKUP(A6,'2-Inventário de Necessidades'!$A$2:$C$63,3)</f>
        <v>Desenvolvimento de solução de modernização do sistema de Plenário</v>
      </c>
      <c r="D6" s="155">
        <f>VLOOKUP(A6,'2-Inventário de Necessidades'!$A$2:$R$63,18)</f>
        <v>1</v>
      </c>
    </row>
    <row r="7" spans="1:4" x14ac:dyDescent="0.25">
      <c r="A7" s="154" t="s">
        <v>23</v>
      </c>
      <c r="B7" s="153">
        <v>6</v>
      </c>
      <c r="C7" s="138" t="str">
        <f>VLOOKUP(A7,'2-Inventário de Necessidades'!$A$2:$C$63,3)</f>
        <v>Desenvolvimento de solução de modernização do sistema de Plenário</v>
      </c>
      <c r="D7" s="155">
        <f>VLOOKUP(A7,'2-Inventário de Necessidades'!$A$2:$R$63,18)</f>
        <v>1</v>
      </c>
    </row>
    <row r="8" spans="1:4" x14ac:dyDescent="0.25">
      <c r="A8" s="154" t="s">
        <v>25</v>
      </c>
      <c r="B8" s="153">
        <v>2</v>
      </c>
      <c r="C8" s="138" t="str">
        <f>VLOOKUP(A8,'2-Inventário de Necessidades'!$A$2:$C$63,3)</f>
        <v>Desenvolvimento de solução para gerenciamento de informações sobre gestores com contas julgadas irregulares</v>
      </c>
      <c r="D8" s="155">
        <f>VLOOKUP(A8,'2-Inventário de Necessidades'!$A$2:$R$63,18)</f>
        <v>0</v>
      </c>
    </row>
    <row r="9" spans="1:4" x14ac:dyDescent="0.25">
      <c r="A9" s="154" t="s">
        <v>28</v>
      </c>
      <c r="B9" s="153">
        <v>4</v>
      </c>
      <c r="C9" s="138" t="str">
        <f>VLOOKUP(A9,'2-Inventário de Necessidades'!$A$2:$C$63,3)</f>
        <v>Desenvolvimento de solução de aprimoramento do acompanhamento de decisões</v>
      </c>
      <c r="D9" s="155">
        <f>VLOOKUP(A9,'2-Inventário de Necessidades'!$A$2:$R$63,18)</f>
        <v>0.5</v>
      </c>
    </row>
    <row r="10" spans="1:4" s="74" customFormat="1" x14ac:dyDescent="0.25">
      <c r="A10" s="154" t="s">
        <v>30</v>
      </c>
      <c r="B10" s="153">
        <v>2</v>
      </c>
      <c r="C10" s="138" t="str">
        <f>VLOOKUP(A10,'2-Inventário de Necessidades'!$A$2:$C$63,3)</f>
        <v>Desenvolvimento de solução de sistematização e consolidação de normas e jurisprudência</v>
      </c>
      <c r="D10" s="155">
        <f>VLOOKUP(A10,'2-Inventário de Necessidades'!$A$2:$R$63,18)</f>
        <v>0.5</v>
      </c>
    </row>
    <row r="11" spans="1:4" x14ac:dyDescent="0.25">
      <c r="A11" s="154" t="s">
        <v>32</v>
      </c>
      <c r="B11" s="153">
        <v>3</v>
      </c>
      <c r="C11" s="307" t="str">
        <f>VLOOKUP(A11,'2-Inventário de Necessidades'!$A$2:$C$63,3)</f>
        <v>Manutenção, ampliação e melhoria da infraestrutura de TI e da 
rede de comunicação</v>
      </c>
      <c r="D11" s="155">
        <f>VLOOKUP(A11,'2-Inventário de Necessidades'!$A$2:$R$63,18)</f>
        <v>0.8571428571428571</v>
      </c>
    </row>
    <row r="12" spans="1:4" x14ac:dyDescent="0.25">
      <c r="A12" s="154" t="s">
        <v>32</v>
      </c>
      <c r="B12" s="153">
        <v>6</v>
      </c>
      <c r="C12" s="307" t="str">
        <f>VLOOKUP(A12,'2-Inventário de Necessidades'!$A$2:$C$63,3)</f>
        <v>Manutenção, ampliação e melhoria da infraestrutura de TI e da 
rede de comunicação</v>
      </c>
      <c r="D12" s="155">
        <f>VLOOKUP(A12,'2-Inventário de Necessidades'!$A$2:$R$63,18)</f>
        <v>0.8571428571428571</v>
      </c>
    </row>
    <row r="13" spans="1:4" x14ac:dyDescent="0.25">
      <c r="A13" s="154" t="s">
        <v>32</v>
      </c>
      <c r="B13" s="153">
        <v>7</v>
      </c>
      <c r="C13" s="307" t="str">
        <f>VLOOKUP(A13,'2-Inventário de Necessidades'!$A$2:$C$63,3)</f>
        <v>Manutenção, ampliação e melhoria da infraestrutura de TI e da 
rede de comunicação</v>
      </c>
      <c r="D13" s="155">
        <f>VLOOKUP(A13,'2-Inventário de Necessidades'!$A$2:$R$63,18)</f>
        <v>0.8571428571428571</v>
      </c>
    </row>
    <row r="14" spans="1:4" x14ac:dyDescent="0.25">
      <c r="A14" s="154" t="s">
        <v>32</v>
      </c>
      <c r="B14" s="153">
        <v>10</v>
      </c>
      <c r="C14" s="307" t="str">
        <f>VLOOKUP(A14,'2-Inventário de Necessidades'!$A$2:$C$63,3)</f>
        <v>Manutenção, ampliação e melhoria da infraestrutura de TI e da 
rede de comunicação</v>
      </c>
      <c r="D14" s="155">
        <f>VLOOKUP(A14,'2-Inventário de Necessidades'!$A$2:$R$63,18)</f>
        <v>0.8571428571428571</v>
      </c>
    </row>
    <row r="15" spans="1:4" x14ac:dyDescent="0.25">
      <c r="A15" s="154" t="s">
        <v>45</v>
      </c>
      <c r="B15" s="153">
        <v>4</v>
      </c>
      <c r="C15" s="138" t="str">
        <f>VLOOKUP(A15,'2-Inventário de Necessidades'!$A$2:$C$63,3)</f>
        <v>Sustentação e evolução do sistema TCE-Juris</v>
      </c>
      <c r="D15" s="155">
        <f>VLOOKUP(A15,'2-Inventário de Necessidades'!$A$2:$R$63,18)</f>
        <v>1</v>
      </c>
    </row>
    <row r="16" spans="1:4" x14ac:dyDescent="0.25">
      <c r="A16" s="154" t="s">
        <v>45</v>
      </c>
      <c r="B16" s="153">
        <v>6</v>
      </c>
      <c r="C16" s="138" t="str">
        <f>VLOOKUP(A16,'2-Inventário de Necessidades'!$A$2:$C$63,3)</f>
        <v>Sustentação e evolução do sistema TCE-Juris</v>
      </c>
      <c r="D16" s="155">
        <f>VLOOKUP(A16,'2-Inventário de Necessidades'!$A$2:$R$63,18)</f>
        <v>1</v>
      </c>
    </row>
    <row r="17" spans="1:4" x14ac:dyDescent="0.25">
      <c r="A17" s="154" t="s">
        <v>45</v>
      </c>
      <c r="B17" s="153">
        <v>7</v>
      </c>
      <c r="C17" s="138" t="str">
        <f>VLOOKUP(A17,'2-Inventário de Necessidades'!$A$2:$C$63,3)</f>
        <v>Sustentação e evolução do sistema TCE-Juris</v>
      </c>
      <c r="D17" s="155">
        <f>VLOOKUP(A17,'2-Inventário de Necessidades'!$A$2:$R$63,18)</f>
        <v>1</v>
      </c>
    </row>
    <row r="18" spans="1:4" x14ac:dyDescent="0.25">
      <c r="A18" s="154" t="s">
        <v>47</v>
      </c>
      <c r="B18" s="153">
        <v>1</v>
      </c>
      <c r="C18" s="138" t="str">
        <f>VLOOKUP(A18,'2-Inventário de Necessidades'!$A$2:$C$63,3)</f>
        <v>Implantação de Comitê Estratégico de TI</v>
      </c>
      <c r="D18" s="155">
        <f>VLOOKUP(A18,'2-Inventário de Necessidades'!$A$2:$R$63,18)</f>
        <v>1</v>
      </c>
    </row>
    <row r="19" spans="1:4" x14ac:dyDescent="0.25">
      <c r="A19" s="154" t="s">
        <v>47</v>
      </c>
      <c r="B19" s="153">
        <v>5</v>
      </c>
      <c r="C19" s="138" t="str">
        <f>VLOOKUP(A19,'2-Inventário de Necessidades'!$A$2:$C$63,3)</f>
        <v>Implantação de Comitê Estratégico de TI</v>
      </c>
      <c r="D19" s="155">
        <f>VLOOKUP(A19,'2-Inventário de Necessidades'!$A$2:$R$63,18)</f>
        <v>1</v>
      </c>
    </row>
    <row r="20" spans="1:4" x14ac:dyDescent="0.25">
      <c r="A20" s="154" t="s">
        <v>50</v>
      </c>
      <c r="B20" s="153">
        <v>1</v>
      </c>
      <c r="C20" s="138" t="str">
        <f>VLOOKUP(A20,'2-Inventário de Necessidades'!$A$2:$C$63,3)</f>
        <v>Elaboração e execução de gerenciamento de portfólio de projetos de TI</v>
      </c>
      <c r="D20" s="155">
        <f>VLOOKUP(A20,'2-Inventário de Necessidades'!$A$2:$R$63,18)</f>
        <v>0.66666666666666663</v>
      </c>
    </row>
    <row r="21" spans="1:4" x14ac:dyDescent="0.25">
      <c r="A21" s="154" t="s">
        <v>50</v>
      </c>
      <c r="B21" s="153">
        <v>5</v>
      </c>
      <c r="C21" s="138" t="str">
        <f>VLOOKUP(A21,'2-Inventário de Necessidades'!$A$2:$C$63,3)</f>
        <v>Elaboração e execução de gerenciamento de portfólio de projetos de TI</v>
      </c>
      <c r="D21" s="155">
        <f>VLOOKUP(A21,'2-Inventário de Necessidades'!$A$2:$R$63,18)</f>
        <v>0.66666666666666663</v>
      </c>
    </row>
    <row r="22" spans="1:4" x14ac:dyDescent="0.25">
      <c r="A22" s="154" t="s">
        <v>54</v>
      </c>
      <c r="B22" s="153">
        <v>9</v>
      </c>
      <c r="C22" s="138" t="str">
        <f>VLOOKUP(A22,'2-Inventário de Necessidades'!$A$2:$C$63,3)</f>
        <v>Ampliação e valorização do quadro de servidores de TI.</v>
      </c>
      <c r="D22" s="155">
        <f>VLOOKUP(A22,'2-Inventário de Necessidades'!$A$2:$R$63,18)</f>
        <v>0.5</v>
      </c>
    </row>
    <row r="23" spans="1:4" x14ac:dyDescent="0.25">
      <c r="A23" s="154" t="s">
        <v>57</v>
      </c>
      <c r="B23" s="153">
        <v>4</v>
      </c>
      <c r="C23" s="138" t="str">
        <f>VLOOKUP(A23,'2-Inventário de Necessidades'!$A$2:$C$63,3)</f>
        <v>Sustentação e evolução do sistema GPRO</v>
      </c>
      <c r="D23" s="155">
        <f>VLOOKUP(A23,'2-Inventário de Necessidades'!$A$2:$R$63,18)</f>
        <v>1</v>
      </c>
    </row>
    <row r="24" spans="1:4" x14ac:dyDescent="0.25">
      <c r="A24" s="154" t="s">
        <v>57</v>
      </c>
      <c r="B24" s="153">
        <v>7</v>
      </c>
      <c r="C24" s="138" t="str">
        <f>VLOOKUP(A24,'2-Inventário de Necessidades'!$A$2:$C$63,3)</f>
        <v>Sustentação e evolução do sistema GPRO</v>
      </c>
      <c r="D24" s="155">
        <f>VLOOKUP(A24,'2-Inventário de Necessidades'!$A$2:$R$63,18)</f>
        <v>1</v>
      </c>
    </row>
    <row r="25" spans="1:4" x14ac:dyDescent="0.25">
      <c r="A25" s="154" t="s">
        <v>60</v>
      </c>
      <c r="B25" s="153">
        <v>1</v>
      </c>
      <c r="C25" s="138" t="str">
        <f>VLOOKUP(A25,'2-Inventário de Necessidades'!$A$2:$C$63,3)</f>
        <v>Implantação da governança de TI</v>
      </c>
      <c r="D25" s="155">
        <f>VLOOKUP(A25,'2-Inventário de Necessidades'!$A$2:$R$63,18)</f>
        <v>0</v>
      </c>
    </row>
    <row r="26" spans="1:4" x14ac:dyDescent="0.25">
      <c r="A26" s="154" t="s">
        <v>60</v>
      </c>
      <c r="B26" s="153">
        <v>5</v>
      </c>
      <c r="C26" s="138" t="str">
        <f>VLOOKUP(A26,'2-Inventário de Necessidades'!$A$2:$C$63,3)</f>
        <v>Implantação da governança de TI</v>
      </c>
      <c r="D26" s="155">
        <f>VLOOKUP(A26,'2-Inventário de Necessidades'!$A$2:$R$63,18)</f>
        <v>0</v>
      </c>
    </row>
    <row r="27" spans="1:4" x14ac:dyDescent="0.25">
      <c r="A27" s="154" t="s">
        <v>65</v>
      </c>
      <c r="B27" s="153">
        <v>2</v>
      </c>
      <c r="C27" s="138" t="str">
        <f>VLOOKUP(A27,'2-Inventário de Necessidades'!$A$2:$C$63,3)</f>
        <v>Conclusão da implantação de processo eletrônico</v>
      </c>
      <c r="D27" s="155">
        <f>VLOOKUP(A27,'2-Inventário de Necessidades'!$A$2:$R$63,18)</f>
        <v>0.66666666666666663</v>
      </c>
    </row>
    <row r="28" spans="1:4" x14ac:dyDescent="0.25">
      <c r="A28" s="154" t="s">
        <v>68</v>
      </c>
      <c r="B28" s="153">
        <v>1</v>
      </c>
      <c r="C28" s="138" t="str">
        <f>VLOOKUP(A28,'2-Inventário de Necessidades'!$A$2:$C$63,3)</f>
        <v>Acompanhamento e transparência na execução das ações constantes no PDTI</v>
      </c>
      <c r="D28" s="155">
        <f>VLOOKUP(A28,'2-Inventário de Necessidades'!$A$2:$R$63,18)</f>
        <v>1</v>
      </c>
    </row>
    <row r="29" spans="1:4" x14ac:dyDescent="0.25">
      <c r="A29" s="154" t="s">
        <v>5</v>
      </c>
      <c r="B29" s="153">
        <v>6</v>
      </c>
      <c r="C29" s="138" t="str">
        <f>VLOOKUP(A29,'2-Inventário de Necessidades'!$A$2:$C$63,3)</f>
        <v>Modernização do parque tecnológico</v>
      </c>
      <c r="D29" s="155">
        <f>VLOOKUP(A29,'2-Inventário de Necessidades'!$A$2:$R$63,18)</f>
        <v>0.75</v>
      </c>
    </row>
    <row r="30" spans="1:4" x14ac:dyDescent="0.25">
      <c r="A30" s="154" t="s">
        <v>5</v>
      </c>
      <c r="B30" s="153">
        <v>7</v>
      </c>
      <c r="C30" s="138" t="str">
        <f>VLOOKUP(A30,'2-Inventário de Necessidades'!$A$2:$C$63,3)</f>
        <v>Modernização do parque tecnológico</v>
      </c>
      <c r="D30" s="155">
        <f>VLOOKUP(A30,'2-Inventário de Necessidades'!$A$2:$R$63,18)</f>
        <v>0.75</v>
      </c>
    </row>
    <row r="31" spans="1:4" x14ac:dyDescent="0.25">
      <c r="A31" s="154" t="s">
        <v>5</v>
      </c>
      <c r="B31" s="153">
        <v>10</v>
      </c>
      <c r="C31" s="138" t="str">
        <f>VLOOKUP(A31,'2-Inventário de Necessidades'!$A$2:$C$63,3)</f>
        <v>Modernização do parque tecnológico</v>
      </c>
      <c r="D31" s="155">
        <f>VLOOKUP(A31,'2-Inventário de Necessidades'!$A$2:$R$63,18)</f>
        <v>0.75</v>
      </c>
    </row>
    <row r="32" spans="1:4" x14ac:dyDescent="0.25">
      <c r="A32" s="154" t="s">
        <v>80</v>
      </c>
      <c r="B32" s="153">
        <v>4</v>
      </c>
      <c r="C32" s="138" t="str">
        <f>VLOOKUP(A32,'2-Inventário de Necessidades'!$A$2:$C$63,3)</f>
        <v>Capacitação no uso de ferramentas de TI e de sistemas corporativos de TI do TCE para os servidores em geral</v>
      </c>
      <c r="D32" s="155">
        <f>VLOOKUP(A32,'2-Inventário de Necessidades'!$A$2:$R$63,18)</f>
        <v>0</v>
      </c>
    </row>
    <row r="33" spans="1:4" x14ac:dyDescent="0.25">
      <c r="A33" s="154" t="s">
        <v>80</v>
      </c>
      <c r="B33" s="153">
        <v>10</v>
      </c>
      <c r="C33" s="138" t="str">
        <f>VLOOKUP(A33,'2-Inventário de Necessidades'!$A$2:$C$63,3)</f>
        <v>Capacitação no uso de ferramentas de TI e de sistemas corporativos de TI do TCE para os servidores em geral</v>
      </c>
      <c r="D33" s="155">
        <f>VLOOKUP(A33,'2-Inventário de Necessidades'!$A$2:$R$63,18)</f>
        <v>0</v>
      </c>
    </row>
    <row r="34" spans="1:4" x14ac:dyDescent="0.25">
      <c r="A34" s="154" t="s">
        <v>83</v>
      </c>
      <c r="B34" s="153">
        <v>3</v>
      </c>
      <c r="C34" s="138" t="str">
        <f>VLOOKUP(A34,'2-Inventário de Necessidades'!$A$2:$C$63,3)</f>
        <v>Implantação da Gestão de Segurança da Informação</v>
      </c>
      <c r="D34" s="155">
        <f>VLOOKUP(A34,'2-Inventário de Necessidades'!$A$2:$R$63,18)</f>
        <v>0.2857142857142857</v>
      </c>
    </row>
    <row r="35" spans="1:4" x14ac:dyDescent="0.25">
      <c r="A35" s="154" t="s">
        <v>83</v>
      </c>
      <c r="B35" s="153">
        <v>3</v>
      </c>
      <c r="C35" s="138" t="str">
        <f>VLOOKUP(A35,'2-Inventário de Necessidades'!$A$2:$C$63,3)</f>
        <v>Implantação da Gestão de Segurança da Informação</v>
      </c>
      <c r="D35" s="155">
        <f>VLOOKUP(A35,'2-Inventário de Necessidades'!$A$2:$R$63,18)</f>
        <v>0.2857142857142857</v>
      </c>
    </row>
    <row r="36" spans="1:4" x14ac:dyDescent="0.25">
      <c r="A36" s="154" t="s">
        <v>7</v>
      </c>
      <c r="B36" s="153">
        <v>8</v>
      </c>
      <c r="C36" s="138" t="str">
        <f>VLOOKUP(A36,'2-Inventário de Necessidades'!$A$2:$C$63,3)</f>
        <v>Capacitação dos servidores de TI</v>
      </c>
      <c r="D36" s="155">
        <f>VLOOKUP(A36,'2-Inventário de Necessidades'!$A$2:$R$63,18)</f>
        <v>0</v>
      </c>
    </row>
    <row r="37" spans="1:4" x14ac:dyDescent="0.25">
      <c r="A37" s="154" t="s">
        <v>92</v>
      </c>
      <c r="B37" s="153">
        <v>4</v>
      </c>
      <c r="C37" s="138" t="str">
        <f>VLOOKUP(A37,'2-Inventário de Necessidades'!$A$2:$C$63,3)</f>
        <v>Implantação do novo sistema para atender ao artigo 30 da CE.</v>
      </c>
      <c r="D37" s="155">
        <f>VLOOKUP(A37,'2-Inventário de Necessidades'!$A$2:$R$63,18)</f>
        <v>1</v>
      </c>
    </row>
    <row r="38" spans="1:4" x14ac:dyDescent="0.25">
      <c r="A38" s="154" t="s">
        <v>92</v>
      </c>
      <c r="B38" s="153">
        <v>6</v>
      </c>
      <c r="C38" s="138" t="str">
        <f>VLOOKUP(A38,'2-Inventário de Necessidades'!$A$2:$C$63,3)</f>
        <v>Implantação do novo sistema para atender ao artigo 30 da CE.</v>
      </c>
      <c r="D38" s="155">
        <f>VLOOKUP(A38,'2-Inventário de Necessidades'!$A$2:$R$63,18)</f>
        <v>1</v>
      </c>
    </row>
    <row r="39" spans="1:4" x14ac:dyDescent="0.25">
      <c r="A39" s="154" t="s">
        <v>94</v>
      </c>
      <c r="B39" s="153">
        <v>2</v>
      </c>
      <c r="C39" s="138" t="str">
        <f>VLOOKUP(A39,'2-Inventário de Necessidades'!$A$2:$C$63,3)</f>
        <v>Viabilizar solução de monitoramento de tramitação de autos processuais e produção de documentos</v>
      </c>
      <c r="D39" s="155">
        <f>VLOOKUP(A39,'2-Inventário de Necessidades'!$A$2:$R$63,18)</f>
        <v>1</v>
      </c>
    </row>
    <row r="40" spans="1:4" x14ac:dyDescent="0.25">
      <c r="A40" s="154" t="s">
        <v>97</v>
      </c>
      <c r="B40" s="153">
        <v>4</v>
      </c>
      <c r="C40" s="138" t="str">
        <f>VLOOKUP(A40,'2-Inventário de Necessidades'!$A$2:$C$63,3)</f>
        <v>Adequação dos sistemas do TCE-GO para viabilizar que os Conselheiros substitutos relatem processos</v>
      </c>
      <c r="D40" s="155">
        <f>VLOOKUP(A40,'2-Inventário de Necessidades'!$A$2:$R$63,18)</f>
        <v>1</v>
      </c>
    </row>
    <row r="41" spans="1:4" x14ac:dyDescent="0.25">
      <c r="A41" s="154" t="s">
        <v>98</v>
      </c>
      <c r="B41" s="153">
        <v>6</v>
      </c>
      <c r="C41" s="138" t="str">
        <f>VLOOKUP(A41,'2-Inventário de Necessidades'!$A$2:$C$63,3)</f>
        <v>Sustentação da infraestrutura de TI da nova sede</v>
      </c>
      <c r="D41" s="155">
        <f>VLOOKUP(A41,'2-Inventário de Necessidades'!$A$2:$R$63,18)</f>
        <v>1</v>
      </c>
    </row>
    <row r="42" spans="1:4" x14ac:dyDescent="0.25">
      <c r="A42" s="154" t="s">
        <v>101</v>
      </c>
      <c r="B42" s="153">
        <v>2</v>
      </c>
      <c r="C42" s="138" t="str">
        <f>VLOOKUP(A42,'2-Inventário de Necessidades'!$A$2:$C$63,3)</f>
        <v>Desenvolvimento de solução de gestão educacional corporativa</v>
      </c>
      <c r="D42" s="155">
        <f>VLOOKUP(A42,'2-Inventário de Necessidades'!$A$2:$R$63,18)</f>
        <v>0</v>
      </c>
    </row>
    <row r="43" spans="1:4" x14ac:dyDescent="0.25">
      <c r="A43" s="154" t="s">
        <v>104</v>
      </c>
      <c r="B43" s="153">
        <v>2</v>
      </c>
      <c r="C43" s="138" t="str">
        <f>VLOOKUP(A43,'2-Inventário de Necessidades'!$A$2:$C$63,3)</f>
        <v>Viabilizar a análise de dados e o cruzamento de informações.</v>
      </c>
      <c r="D43" s="155">
        <f>VLOOKUP(A43,'2-Inventário de Necessidades'!$A$2:$R$63,18)</f>
        <v>0.33333333333333331</v>
      </c>
    </row>
    <row r="44" spans="1:4" x14ac:dyDescent="0.25">
      <c r="A44" s="154" t="s">
        <v>104</v>
      </c>
      <c r="B44" s="153">
        <v>10</v>
      </c>
      <c r="C44" s="138" t="str">
        <f>VLOOKUP(A44,'2-Inventário de Necessidades'!$A$2:$C$63,3)</f>
        <v>Viabilizar a análise de dados e o cruzamento de informações.</v>
      </c>
      <c r="D44" s="155">
        <f>VLOOKUP(A44,'2-Inventário de Necessidades'!$A$2:$R$63,18)</f>
        <v>0.33333333333333331</v>
      </c>
    </row>
    <row r="45" spans="1:4" x14ac:dyDescent="0.25">
      <c r="A45" s="154" t="s">
        <v>105</v>
      </c>
      <c r="B45" s="153">
        <v>2</v>
      </c>
      <c r="C45" s="138" t="str">
        <f>VLOOKUP(A45,'2-Inventário de Necessidades'!$A$2:$C$63,3)</f>
        <v>Viabilização da inserção do TCE-GO em Redes Sociais</v>
      </c>
      <c r="D45" s="155">
        <f>VLOOKUP(A45,'2-Inventário de Necessidades'!$A$2:$R$63,18)</f>
        <v>1</v>
      </c>
    </row>
    <row r="46" spans="1:4" x14ac:dyDescent="0.25">
      <c r="A46" s="154" t="s">
        <v>105</v>
      </c>
      <c r="B46" s="153">
        <v>10</v>
      </c>
      <c r="C46" s="138" t="str">
        <f>VLOOKUP(A46,'2-Inventário de Necessidades'!$A$2:$C$63,3)</f>
        <v>Viabilização da inserção do TCE-GO em Redes Sociais</v>
      </c>
      <c r="D46" s="155">
        <f>VLOOKUP(A46,'2-Inventário de Necessidades'!$A$2:$R$63,18)</f>
        <v>1</v>
      </c>
    </row>
    <row r="47" spans="1:4" x14ac:dyDescent="0.25">
      <c r="A47" s="154" t="s">
        <v>108</v>
      </c>
      <c r="B47" s="153">
        <v>2</v>
      </c>
      <c r="C47" s="138" t="str">
        <f>VLOOKUP(A47,'2-Inventário de Necessidades'!$A$2:$C$63,3)</f>
        <v>Viabilização de divulgação na internet de ações e atividades de controle externo</v>
      </c>
      <c r="D47" s="155">
        <f>VLOOKUP(A47,'2-Inventário de Necessidades'!$A$2:$R$63,18)</f>
        <v>0</v>
      </c>
    </row>
    <row r="48" spans="1:4" x14ac:dyDescent="0.25">
      <c r="A48" s="154" t="s">
        <v>111</v>
      </c>
      <c r="B48" s="153">
        <v>4</v>
      </c>
      <c r="C48" s="138" t="str">
        <f>VLOOKUP(A48,'2-Inventário de Necessidades'!$A$2:$C$63,3)</f>
        <v>Modernização dos sistemas corporativos com foco em acessibilidade</v>
      </c>
      <c r="D48" s="155">
        <f>VLOOKUP(A48,'2-Inventário de Necessidades'!$A$2:$R$63,18)</f>
        <v>0</v>
      </c>
    </row>
    <row r="49" spans="1:4" x14ac:dyDescent="0.25">
      <c r="A49" s="154" t="s">
        <v>114</v>
      </c>
      <c r="B49" s="153">
        <v>2</v>
      </c>
      <c r="C49" s="138" t="str">
        <f>VLOOKUP(A49,'2-Inventário de Necessidades'!$A$2:$C$63,3)</f>
        <v>Conclusão da regulamentação e implantação do sistema de auditoria de folha de pagamento - GAFP</v>
      </c>
      <c r="D49" s="155">
        <f>VLOOKUP(A49,'2-Inventário de Necessidades'!$A$2:$R$63,18)</f>
        <v>0</v>
      </c>
    </row>
    <row r="50" spans="1:4" x14ac:dyDescent="0.25">
      <c r="A50" s="154" t="s">
        <v>117</v>
      </c>
      <c r="B50" s="153">
        <v>4</v>
      </c>
      <c r="C50" s="138" t="str">
        <f>VLOOKUP(A50,'2-Inventário de Necessidades'!$A$2:$C$63,3)</f>
        <v>Aprimoramento dos serviços do portal institucional do TCE-GO</v>
      </c>
      <c r="D50" s="155">
        <f>VLOOKUP(A50,'2-Inventário de Necessidades'!$A$2:$R$63,18)</f>
        <v>0.42857142857142855</v>
      </c>
    </row>
    <row r="51" spans="1:4" x14ac:dyDescent="0.25">
      <c r="A51" s="154" t="s">
        <v>120</v>
      </c>
      <c r="B51" s="153">
        <v>2</v>
      </c>
      <c r="C51" s="138" t="str">
        <f>VLOOKUP(A51,'2-Inventário de Necessidades'!$A$2:$C$63,3)</f>
        <v>Prover canal de comunicação para que os servidores e cidadãos informem suspeitas de irregularidades</v>
      </c>
      <c r="D51" s="155">
        <f>VLOOKUP(A51,'2-Inventário de Necessidades'!$A$2:$R$63,18)</f>
        <v>1</v>
      </c>
    </row>
    <row r="52" spans="1:4" s="74" customFormat="1" x14ac:dyDescent="0.25">
      <c r="A52" s="154" t="s">
        <v>121</v>
      </c>
      <c r="B52" s="153">
        <v>2</v>
      </c>
      <c r="C52" s="138" t="str">
        <f>VLOOKUP(A52,'2-Inventário de Necessidades'!$A$2:$C$63,3)</f>
        <v>Desenvolvimento de solução para fiscalização de contratação de pessoal temporários</v>
      </c>
      <c r="D52" s="155">
        <f>VLOOKUP(A52,'2-Inventário de Necessidades'!$A$2:$R$63,18)</f>
        <v>0</v>
      </c>
    </row>
    <row r="53" spans="1:4" x14ac:dyDescent="0.25">
      <c r="A53" s="154" t="s">
        <v>124</v>
      </c>
      <c r="B53" s="153">
        <v>2</v>
      </c>
      <c r="C53" s="138" t="str">
        <f>VLOOKUP(A53,'2-Inventário de Necessidades'!$A$2:$C$63,3)</f>
        <v>Viabilizar solução de gestão documental e arquivística</v>
      </c>
      <c r="D53" s="155">
        <f>VLOOKUP(A53,'2-Inventário de Necessidades'!$A$2:$R$63,18)</f>
        <v>0</v>
      </c>
    </row>
    <row r="54" spans="1:4" x14ac:dyDescent="0.25">
      <c r="A54" s="154" t="s">
        <v>127</v>
      </c>
      <c r="B54" s="153">
        <v>1</v>
      </c>
      <c r="C54" s="138" t="str">
        <f>VLOOKUP(A54,'2-Inventário de Necessidades'!$A$2:$C$63,3)</f>
        <v>Elaboração de instrumento de planejamento de TI 2018-2019</v>
      </c>
      <c r="D54" s="155">
        <f>VLOOKUP(A54,'2-Inventário de Necessidades'!$A$2:$R$63,18)</f>
        <v>0</v>
      </c>
    </row>
    <row r="55" spans="1:4" x14ac:dyDescent="0.25">
      <c r="A55" s="154" t="s">
        <v>130</v>
      </c>
      <c r="B55" s="153">
        <v>4</v>
      </c>
      <c r="C55" s="138" t="str">
        <f>VLOOKUP(A55,'2-Inventário de Necessidades'!$A$2:$C$63,3)</f>
        <v>Modernização do Portal de Gestão de Pessoas</v>
      </c>
      <c r="D55" s="155">
        <f>VLOOKUP(A55,'2-Inventário de Necessidades'!$A$2:$R$63,18)</f>
        <v>1</v>
      </c>
    </row>
    <row r="56" spans="1:4" x14ac:dyDescent="0.25">
      <c r="A56" s="154" t="s">
        <v>132</v>
      </c>
      <c r="B56" s="153">
        <v>4</v>
      </c>
      <c r="C56" s="138" t="str">
        <f>VLOOKUP(A56,'2-Inventário de Necessidades'!$A$2:$C$63,3)</f>
        <v xml:space="preserve">Aprimorar a solução de gestão dos cadastros de pessoa física, jurídica e Estrutura Organizacional do Estado </v>
      </c>
      <c r="D56" s="155">
        <f>VLOOKUP(A56,'2-Inventário de Necessidades'!$A$2:$R$63,18)</f>
        <v>0</v>
      </c>
    </row>
    <row r="57" spans="1:4" x14ac:dyDescent="0.25">
      <c r="A57" s="154" t="s">
        <v>134</v>
      </c>
      <c r="B57" s="153">
        <v>1</v>
      </c>
      <c r="C57" s="138" t="str">
        <f>VLOOKUP(A57,'2-Inventário de Necessidades'!$A$2:$C$63,3)</f>
        <v>Criação e publicação de normativo estabelecendo as competências das unidades de TI</v>
      </c>
      <c r="D57" s="155">
        <f>VLOOKUP(A57,'2-Inventário de Necessidades'!$A$2:$R$63,18)</f>
        <v>1</v>
      </c>
    </row>
    <row r="58" spans="1:4" x14ac:dyDescent="0.25">
      <c r="A58" s="154" t="s">
        <v>136</v>
      </c>
      <c r="B58" s="153">
        <v>3</v>
      </c>
      <c r="C58" s="138" t="str">
        <f>VLOOKUP(A58,'2-Inventário de Necessidades'!$A$2:$C$63,3)</f>
        <v>Aprimoramento do Serviço de Email Corporativo</v>
      </c>
      <c r="D58" s="155">
        <f>VLOOKUP(A58,'2-Inventário de Necessidades'!$A$2:$R$63,18)</f>
        <v>1</v>
      </c>
    </row>
    <row r="59" spans="1:4" x14ac:dyDescent="0.25">
      <c r="A59" s="154" t="s">
        <v>140</v>
      </c>
      <c r="B59" s="153">
        <v>5</v>
      </c>
      <c r="C59" s="138" t="str">
        <f>VLOOKUP(A59,'2-Inventário de Necessidades'!$A$2:$C$63,3)</f>
        <v>Viabilização do intercâmbio de informações de interesse com outros orgãos da Administração Pública</v>
      </c>
      <c r="D59" s="155">
        <f>VLOOKUP(A59,'2-Inventário de Necessidades'!$A$2:$R$63,18)</f>
        <v>1</v>
      </c>
    </row>
    <row r="60" spans="1:4" x14ac:dyDescent="0.25">
      <c r="A60" s="154" t="s">
        <v>142</v>
      </c>
      <c r="B60" s="153">
        <v>2</v>
      </c>
      <c r="C60" s="138" t="str">
        <f>VLOOKUP(A59,'2-Inventário de Necessidades'!$A$2:$C$63,3)</f>
        <v>Viabilização do intercâmbio de informações de interesse com outros orgãos da Administração Pública</v>
      </c>
      <c r="D60" s="155">
        <f>VLOOKUP(A60,'2-Inventário de Necessidades'!$A$2:$R$63,18)</f>
        <v>0</v>
      </c>
    </row>
    <row r="61" spans="1:4" x14ac:dyDescent="0.25">
      <c r="A61" s="154" t="s">
        <v>145</v>
      </c>
      <c r="B61" s="153">
        <v>3</v>
      </c>
      <c r="C61" s="138" t="str">
        <f>VLOOKUP(A61,'2-Inventário de Necessidades'!$A$2:$C$63,3)</f>
        <v>Aquisição de softwares aplicativos</v>
      </c>
      <c r="D61" s="155">
        <f>VLOOKUP(A61,'2-Inventário de Necessidades'!$A$2:$R$63,18)</f>
        <v>0.63636363636363635</v>
      </c>
    </row>
    <row r="62" spans="1:4" x14ac:dyDescent="0.25">
      <c r="A62" s="154" t="s">
        <v>145</v>
      </c>
      <c r="B62" s="153">
        <v>4</v>
      </c>
      <c r="C62" s="138" t="str">
        <f>VLOOKUP(A62,'2-Inventário de Necessidades'!$A$2:$C$63,3)</f>
        <v>Aquisição de softwares aplicativos</v>
      </c>
      <c r="D62" s="155">
        <f>VLOOKUP(A62,'2-Inventário de Necessidades'!$A$2:$R$63,18)</f>
        <v>0.63636363636363635</v>
      </c>
    </row>
    <row r="63" spans="1:4" x14ac:dyDescent="0.25">
      <c r="A63" s="154" t="s">
        <v>145</v>
      </c>
      <c r="B63" s="153">
        <v>10</v>
      </c>
      <c r="C63" s="138" t="str">
        <f>VLOOKUP(A63,'2-Inventário de Necessidades'!$A$2:$C$63,3)</f>
        <v>Aquisição de softwares aplicativos</v>
      </c>
      <c r="D63" s="155">
        <f>VLOOKUP(A63,'2-Inventário de Necessidades'!$A$2:$R$63,18)</f>
        <v>0.63636363636363635</v>
      </c>
    </row>
    <row r="64" spans="1:4" x14ac:dyDescent="0.25">
      <c r="A64" s="154" t="s">
        <v>167</v>
      </c>
      <c r="B64" s="153">
        <v>2</v>
      </c>
      <c r="C64" s="138" t="str">
        <f>VLOOKUP(A64,'2-Inventário de Necessidades'!$A$2:$C$63,3)</f>
        <v>Viabilização de utilização de soluções de armazenamento em nuvem</v>
      </c>
      <c r="D64" s="155">
        <f>VLOOKUP(A64,'2-Inventário de Necessidades'!$A$2:$R$63,18)</f>
        <v>0</v>
      </c>
    </row>
    <row r="65" spans="1:4" x14ac:dyDescent="0.25">
      <c r="A65" s="154" t="s">
        <v>167</v>
      </c>
      <c r="B65" s="153">
        <v>10</v>
      </c>
      <c r="C65" s="138" t="str">
        <f>VLOOKUP(A65,'2-Inventário de Necessidades'!$A$2:$C$63,3)</f>
        <v>Viabilização de utilização de soluções de armazenamento em nuvem</v>
      </c>
      <c r="D65" s="155">
        <f>VLOOKUP(A65,'2-Inventário de Necessidades'!$A$2:$R$63,18)</f>
        <v>0</v>
      </c>
    </row>
    <row r="66" spans="1:4" x14ac:dyDescent="0.25">
      <c r="A66" s="154" t="s">
        <v>172</v>
      </c>
      <c r="B66" s="153">
        <v>2</v>
      </c>
      <c r="C66" s="138" t="str">
        <f>VLOOKUP(A66,'2-Inventário de Necessidades'!$A$2:$C$63,3)</f>
        <v>Desenvolvimento de solução para gestão de declarações de bens e rendas</v>
      </c>
      <c r="D66" s="155">
        <f>VLOOKUP(A66,'2-Inventário de Necessidades'!$A$2:$R$63,18)</f>
        <v>0</v>
      </c>
    </row>
    <row r="67" spans="1:4" x14ac:dyDescent="0.25">
      <c r="A67" s="154" t="s">
        <v>172</v>
      </c>
      <c r="B67" s="153">
        <v>2</v>
      </c>
      <c r="C67" s="138" t="str">
        <f>VLOOKUP(A67,'2-Inventário de Necessidades'!$A$2:$C$63,3)</f>
        <v>Desenvolvimento de solução para gestão de declarações de bens e rendas</v>
      </c>
      <c r="D67" s="155">
        <f>VLOOKUP(A67,'2-Inventário de Necessidades'!$A$2:$R$63,18)</f>
        <v>0</v>
      </c>
    </row>
    <row r="68" spans="1:4" x14ac:dyDescent="0.25">
      <c r="A68" s="154" t="s">
        <v>175</v>
      </c>
      <c r="B68" s="153">
        <v>5</v>
      </c>
      <c r="C68" s="138" t="str">
        <f>VLOOKUP(A68,'2-Inventário de Necessidades'!$A$2:$C$63,3)</f>
        <v>Definição de Padrões de TI (Arquitetura, Código, BD) e documentá-los (elaborar/revisar Manuais de Sistemas, Guias)</v>
      </c>
      <c r="D68" s="155">
        <f>VLOOKUP(A68,'2-Inventário de Necessidades'!$A$2:$R$63,18)</f>
        <v>0.66666666666666663</v>
      </c>
    </row>
    <row r="69" spans="1:4" x14ac:dyDescent="0.25">
      <c r="A69" s="154" t="s">
        <v>178</v>
      </c>
      <c r="B69" s="153">
        <v>4</v>
      </c>
      <c r="C69" s="138" t="str">
        <f>VLOOKUP(A69,'2-Inventário de Necessidades'!$A$2:$C$63,3)</f>
        <v>Sustentação e evolução do sistema de gestão de material e patrimônio - GMAP</v>
      </c>
      <c r="D69" s="155">
        <f>VLOOKUP(A69,'2-Inventário de Necessidades'!$A$2:$R$63,18)</f>
        <v>1</v>
      </c>
    </row>
    <row r="70" spans="1:4" x14ac:dyDescent="0.25">
      <c r="A70" s="154" t="s">
        <v>180</v>
      </c>
      <c r="B70" s="153">
        <v>2</v>
      </c>
      <c r="C70" s="138" t="str">
        <f>VLOOKUP(A71,'2-Inventário de Necessidades'!$A$2:$C$63,3)</f>
        <v>Implantação do Gerenciamento de Serviços de TI</v>
      </c>
      <c r="D70" s="155">
        <f>VLOOKUP(A70,'2-Inventário de Necessidades'!$A$2:$R$63,18)</f>
        <v>0.5</v>
      </c>
    </row>
    <row r="71" spans="1:4" s="74" customFormat="1" x14ac:dyDescent="0.25">
      <c r="A71" s="154" t="s">
        <v>183</v>
      </c>
      <c r="B71" s="153">
        <v>1</v>
      </c>
      <c r="C71" s="138" t="str">
        <f>VLOOKUP(A71,'2-Inventário de Necessidades'!$A$2:$C$63,3)</f>
        <v>Implantação do Gerenciamento de Serviços de TI</v>
      </c>
      <c r="D71" s="155">
        <f>VLOOKUP(A71,'2-Inventário de Necessidades'!$A$2:$R$63,18)</f>
        <v>0</v>
      </c>
    </row>
    <row r="72" spans="1:4" s="74" customFormat="1" x14ac:dyDescent="0.25">
      <c r="A72" s="154" t="s">
        <v>183</v>
      </c>
      <c r="B72" s="153">
        <v>5</v>
      </c>
      <c r="C72" s="138" t="str">
        <f>VLOOKUP(A72,'2-Inventário de Necessidades'!$A$2:$C$63,3)</f>
        <v>Implantação do Gerenciamento de Serviços de TI</v>
      </c>
      <c r="D72" s="155">
        <f>VLOOKUP(A72,'2-Inventário de Necessidades'!$A$2:$R$63,18)</f>
        <v>0</v>
      </c>
    </row>
    <row r="73" spans="1:4" s="74" customFormat="1" ht="14.25" customHeight="1" x14ac:dyDescent="0.25">
      <c r="A73" s="154" t="s">
        <v>183</v>
      </c>
      <c r="B73" s="153">
        <v>7</v>
      </c>
      <c r="C73" s="138" t="str">
        <f>VLOOKUP(A73,'2-Inventário de Necessidades'!$A$2:$C$63,3)</f>
        <v>Implantação do Gerenciamento de Serviços de TI</v>
      </c>
      <c r="D73" s="155">
        <f>VLOOKUP(A73,'2-Inventário de Necessidades'!$A$2:$R$63,18)</f>
        <v>0</v>
      </c>
    </row>
    <row r="74" spans="1:4" s="74" customFormat="1" x14ac:dyDescent="0.25">
      <c r="A74" s="154" t="s">
        <v>188</v>
      </c>
      <c r="B74" s="153">
        <v>2</v>
      </c>
      <c r="C74" s="138" t="str">
        <f>VLOOKUP(A74,'2-Inventário de Necessidades'!$A$2:$C$63,3)</f>
        <v>Viabilização de solução de gerenciamento de processos organizacionais</v>
      </c>
      <c r="D74" s="155">
        <f>VLOOKUP(A74,'2-Inventário de Necessidades'!$A$2:$R$63,18)</f>
        <v>0</v>
      </c>
    </row>
    <row r="75" spans="1:4" s="74" customFormat="1" x14ac:dyDescent="0.25">
      <c r="A75" s="154" t="s">
        <v>190</v>
      </c>
      <c r="B75" s="153">
        <v>2</v>
      </c>
      <c r="C75" s="138" t="str">
        <f>VLOOKUP(A75,'2-Inventário de Necessidades'!$A$2:$C$63,3)</f>
        <v>Viabilização de solução para gestão do conhecimento</v>
      </c>
      <c r="D75" s="155">
        <f>VLOOKUP(A75,'2-Inventário de Necessidades'!$A$2:$R$63,18)</f>
        <v>1</v>
      </c>
    </row>
    <row r="76" spans="1:4" s="74" customFormat="1" x14ac:dyDescent="0.25">
      <c r="A76" s="154" t="s">
        <v>192</v>
      </c>
      <c r="B76" s="153">
        <v>2</v>
      </c>
      <c r="C76" s="138" t="str">
        <f>VLOOKUP(A76,'2-Inventário de Necessidades'!$A$2:$C$63,3)</f>
        <v>Desenvolvimento de solução de portal corporativo e ferramentas de colaboração e de socialização</v>
      </c>
      <c r="D76" s="155">
        <f>VLOOKUP(A76,'2-Inventário de Necessidades'!$A$2:$R$63,18)</f>
        <v>0</v>
      </c>
    </row>
    <row r="77" spans="1:4" s="74" customFormat="1" x14ac:dyDescent="0.25">
      <c r="A77" s="154" t="s">
        <v>195</v>
      </c>
      <c r="B77" s="153">
        <v>2</v>
      </c>
      <c r="C77" s="138" t="str">
        <f>VLOOKUP(A77,'2-Inventário de Necessidades'!$A$2:$C$63,3)</f>
        <v>Desenvolvimento de solução de gestão da manutenção predial</v>
      </c>
      <c r="D77" s="155">
        <f>VLOOKUP(A77,'2-Inventário de Necessidades'!$A$2:$R$63,18)</f>
        <v>1</v>
      </c>
    </row>
    <row r="78" spans="1:4" s="74" customFormat="1" x14ac:dyDescent="0.25">
      <c r="A78" s="154" t="s">
        <v>198</v>
      </c>
      <c r="B78" s="153">
        <v>6</v>
      </c>
      <c r="C78" s="138" t="str">
        <f>VLOOKUP(A78,'2-Inventário de Necessidades'!$A$2:$C$63,3)</f>
        <v>Viabilização de infraestrutura para produção de conteúdo de vídeo e transmissão das Sessões Plenárias</v>
      </c>
      <c r="D78" s="155">
        <f>VLOOKUP(A78,'2-Inventário de Necessidades'!$A$2:$R$63,18)</f>
        <v>1</v>
      </c>
    </row>
    <row r="79" spans="1:4" s="74" customFormat="1" x14ac:dyDescent="0.25">
      <c r="A79" s="154" t="s">
        <v>202</v>
      </c>
      <c r="B79" s="153">
        <v>2</v>
      </c>
      <c r="C79" s="138" t="str">
        <f>VLOOKUP(A79,'2-Inventário de Necessidades'!$A$2:$C$63,3)</f>
        <v>Conclusão da solução GRAC - Registro de atos de concessão</v>
      </c>
      <c r="D79" s="155">
        <f>VLOOKUP(A79,'2-Inventário de Necessidades'!$A$2:$R$63,18)</f>
        <v>0</v>
      </c>
    </row>
    <row r="80" spans="1:4" s="74" customFormat="1" x14ac:dyDescent="0.25">
      <c r="A80" s="154" t="s">
        <v>204</v>
      </c>
      <c r="B80" s="153">
        <v>4</v>
      </c>
      <c r="C80" s="138" t="str">
        <f>VLOOKUP(A80,'2-Inventário de Necessidades'!$A$2:$C$63,3)</f>
        <v>Conclusão da solução GRAC - Registro de atos de concessão</v>
      </c>
      <c r="D80" s="155">
        <f>VLOOKUP(A80,'2-Inventário de Necessidades'!$A$2:$R$63,18)</f>
        <v>0</v>
      </c>
    </row>
    <row r="81" spans="1:4" s="74" customFormat="1" x14ac:dyDescent="0.25">
      <c r="A81" s="154" t="s">
        <v>284</v>
      </c>
      <c r="B81" s="153">
        <v>6</v>
      </c>
      <c r="C81" s="138" t="str">
        <f>VLOOKUP(A81,'2-Inventário de Necessidades'!$A$2:$C$63,3)</f>
        <v>Ajustar sistemas internos às necessidades do usuários.</v>
      </c>
      <c r="D81" s="155">
        <f>VLOOKUP(A81,'2-Inventário de Necessidades'!$A$2:$R$63,18)</f>
        <v>0.75</v>
      </c>
    </row>
    <row r="82" spans="1:4" s="74" customFormat="1" x14ac:dyDescent="0.25">
      <c r="A82" s="154" t="s">
        <v>781</v>
      </c>
      <c r="B82" s="153">
        <v>1</v>
      </c>
      <c r="C82" s="138" t="str">
        <f>VLOOKUP(A82,'2-Inventário de Necessidades'!$A$2:$C$63,3)</f>
        <v>Prover serviços de apoio técnico, realizar o gerenciamento de contratos, ativos e soluções de TI</v>
      </c>
      <c r="D82" s="155">
        <f>VLOOKUP(A82,'2-Inventário de Necessidades'!$A$2:$R$63,18)</f>
        <v>0</v>
      </c>
    </row>
    <row r="83" spans="1:4" s="74" customFormat="1" x14ac:dyDescent="0.25">
      <c r="A83" s="154" t="s">
        <v>781</v>
      </c>
      <c r="B83" s="153">
        <v>6</v>
      </c>
      <c r="C83" s="138" t="str">
        <f>VLOOKUP(A83,'2-Inventário de Necessidades'!$A$2:$C$63,3)</f>
        <v>Prover serviços de apoio técnico, realizar o gerenciamento de contratos, ativos e soluções de TI</v>
      </c>
      <c r="D83" s="155">
        <f>VLOOKUP(A83,'2-Inventário de Necessidades'!$A$2:$R$63,18)</f>
        <v>0</v>
      </c>
    </row>
    <row r="84" spans="1:4" s="74" customFormat="1" x14ac:dyDescent="0.25">
      <c r="A84" s="154" t="s">
        <v>781</v>
      </c>
      <c r="B84" s="153">
        <v>7</v>
      </c>
      <c r="C84" s="138" t="str">
        <f>VLOOKUP(A84,'2-Inventário de Necessidades'!$A$2:$C$63,3)</f>
        <v>Prover serviços de apoio técnico, realizar o gerenciamento de contratos, ativos e soluções de TI</v>
      </c>
      <c r="D84" s="155">
        <f>VLOOKUP(A84,'2-Inventário de Necessidades'!$A$2:$R$63,18)</f>
        <v>0</v>
      </c>
    </row>
    <row r="85" spans="1:4" s="74" customFormat="1" x14ac:dyDescent="0.25">
      <c r="A85" s="154" t="s">
        <v>781</v>
      </c>
      <c r="B85" s="153">
        <v>10</v>
      </c>
      <c r="C85" s="138" t="str">
        <f>VLOOKUP(A85,'2-Inventário de Necessidades'!$A$2:$C$63,3)</f>
        <v>Prover serviços de apoio técnico, realizar o gerenciamento de contratos, ativos e soluções de TI</v>
      </c>
      <c r="D85" s="155">
        <f>VLOOKUP(A85,'2-Inventário de Necessidades'!$A$2:$R$63,18)</f>
        <v>0</v>
      </c>
    </row>
    <row r="86" spans="1:4" s="74" customFormat="1" x14ac:dyDescent="0.25">
      <c r="A86" s="154" t="s">
        <v>911</v>
      </c>
      <c r="B86" s="153">
        <v>2</v>
      </c>
      <c r="C86" s="138" t="str">
        <f>VLOOKUP(A86,'2-Inventário de Necessidades'!$A$2:$C$63,3)</f>
        <v>Prover solução de gestão corporativa de riscos (MMD)</v>
      </c>
      <c r="D86" s="155">
        <f>VLOOKUP(A86,'2-Inventário de Necessidades'!$A$2:$R$63,18)</f>
        <v>0</v>
      </c>
    </row>
    <row r="87" spans="1:4" s="74" customFormat="1" x14ac:dyDescent="0.25">
      <c r="A87" s="154" t="s">
        <v>912</v>
      </c>
      <c r="B87" s="153">
        <v>2</v>
      </c>
      <c r="C87" s="138" t="str">
        <f>VLOOKUP(A87,'2-Inventário de Necessidades'!$A$2:$C$63,3)</f>
        <v>Prover solução para gestão de convênios (MMD)</v>
      </c>
      <c r="D87" s="155">
        <f>VLOOKUP(A87,'2-Inventário de Necessidades'!$A$2:$R$63,18)</f>
        <v>0</v>
      </c>
    </row>
    <row r="88" spans="1:4" s="74" customFormat="1" x14ac:dyDescent="0.25">
      <c r="A88" s="154" t="s">
        <v>913</v>
      </c>
      <c r="B88" s="153">
        <v>2</v>
      </c>
      <c r="C88" s="307" t="str">
        <f>VLOOKUP(A88,'2-Inventário de Necessidades'!$A$2:$C$63,3)</f>
        <v>Aprimoramento de serviços para atender quesitos de transparência propostos pela ENCCLA, bem como o cumprimento integral da LAI estadual e federal</v>
      </c>
      <c r="D88" s="155">
        <f>VLOOKUP(A88,'2-Inventário de Necessidades'!$A$2:$R$63,18)</f>
        <v>0.66666666666666663</v>
      </c>
    </row>
    <row r="89" spans="1:4" s="74" customFormat="1" x14ac:dyDescent="0.25">
      <c r="A89" s="154" t="s">
        <v>913</v>
      </c>
      <c r="B89" s="153">
        <v>6</v>
      </c>
      <c r="C89" s="307" t="str">
        <f>VLOOKUP(A89,'2-Inventário de Necessidades'!$A$2:$C$63,3)</f>
        <v>Aprimoramento de serviços para atender quesitos de transparência propostos pela ENCCLA, bem como o cumprimento integral da LAI estadual e federal</v>
      </c>
      <c r="D89" s="155">
        <f>VLOOKUP(A89,'2-Inventário de Necessidades'!$A$2:$R$63,18)</f>
        <v>0.66666666666666663</v>
      </c>
    </row>
    <row r="90" spans="1:4" s="74" customFormat="1" x14ac:dyDescent="0.25">
      <c r="A90" s="154" t="s">
        <v>1146</v>
      </c>
      <c r="B90" s="153">
        <v>2</v>
      </c>
      <c r="C90" s="138" t="str">
        <f>VLOOKUP(A90,'2-Inventário de Necessidades'!$A$2:$C$63,3)</f>
        <v>Viabilizar a fiscalização e acompanhamento de concursos públicos</v>
      </c>
      <c r="D90" s="155">
        <f>VLOOKUP(A90,'2-Inventário de Necessidades'!$A$2:$R$63,18)</f>
        <v>0</v>
      </c>
    </row>
    <row r="91" spans="1:4" s="74" customFormat="1" x14ac:dyDescent="0.25">
      <c r="A91" s="154" t="s">
        <v>1148</v>
      </c>
      <c r="B91" s="153">
        <v>6</v>
      </c>
      <c r="C91" s="138" t="str">
        <f>VLOOKUP(A91,'2-Inventário de Necessidades'!$A$2:$C$63,3)</f>
        <v>Prover suporte tecnológico para a ampliação da comunicação corporativa no TCE-GO</v>
      </c>
      <c r="D91" s="155">
        <f>VLOOKUP(A91,'2-Inventário de Necessidades'!$A$2:$R$63,18)</f>
        <v>1</v>
      </c>
    </row>
    <row r="92" spans="1:4" s="74" customFormat="1" x14ac:dyDescent="0.25">
      <c r="A92"/>
      <c r="B92"/>
      <c r="C92" s="299"/>
      <c r="D92" s="156"/>
    </row>
    <row r="93" spans="1:4" s="74" customFormat="1" x14ac:dyDescent="0.25">
      <c r="A93"/>
      <c r="B93"/>
      <c r="C93" s="299"/>
      <c r="D93"/>
    </row>
    <row r="94" spans="1:4" s="74" customFormat="1" x14ac:dyDescent="0.25">
      <c r="A94"/>
      <c r="B94"/>
      <c r="C94" s="299"/>
      <c r="D94"/>
    </row>
    <row r="96" spans="1:4" ht="16.5" customHeight="1" x14ac:dyDescent="0.25">
      <c r="B96" s="571" t="s">
        <v>949</v>
      </c>
      <c r="C96" s="572"/>
    </row>
    <row r="97" spans="1:7" ht="15.75" x14ac:dyDescent="0.25">
      <c r="B97" s="67" t="s">
        <v>950</v>
      </c>
      <c r="C97" s="68" t="s">
        <v>951</v>
      </c>
    </row>
    <row r="98" spans="1:7" ht="15.75" x14ac:dyDescent="0.25">
      <c r="B98" s="69" t="s">
        <v>952</v>
      </c>
      <c r="C98" s="70" t="s">
        <v>953</v>
      </c>
    </row>
    <row r="99" spans="1:7" ht="15.75" x14ac:dyDescent="0.25">
      <c r="B99" s="67" t="s">
        <v>954</v>
      </c>
      <c r="C99" s="68" t="s">
        <v>955</v>
      </c>
    </row>
    <row r="100" spans="1:7" x14ac:dyDescent="0.25">
      <c r="C100" s="305"/>
      <c r="D100" s="35"/>
      <c r="E100" s="36"/>
      <c r="F100" s="36"/>
    </row>
    <row r="101" spans="1:7" ht="30" customHeight="1" thickBot="1" x14ac:dyDescent="0.3">
      <c r="A101" s="33" t="s">
        <v>935</v>
      </c>
      <c r="B101" s="33" t="s">
        <v>205</v>
      </c>
      <c r="C101" s="37" t="s">
        <v>902</v>
      </c>
      <c r="D101" s="38" t="s">
        <v>679</v>
      </c>
      <c r="E101" s="33" t="s">
        <v>904</v>
      </c>
      <c r="F101" s="34" t="s">
        <v>372</v>
      </c>
      <c r="G101" s="42" t="s">
        <v>903</v>
      </c>
    </row>
    <row r="102" spans="1:7" ht="50.1" customHeight="1" thickBot="1" x14ac:dyDescent="0.3">
      <c r="A102" s="566" t="s">
        <v>938</v>
      </c>
      <c r="B102" s="65">
        <v>1</v>
      </c>
      <c r="C102" s="66" t="s">
        <v>925</v>
      </c>
      <c r="D102" s="46">
        <f>COUNTIF($B$3:$B$91,B102)</f>
        <v>8</v>
      </c>
      <c r="E102" s="46">
        <f>COUNTIFS($B$3:$B$91,B102,$D$3:$D$91,1)</f>
        <v>3</v>
      </c>
      <c r="F102" s="47">
        <f>E102/D102</f>
        <v>0.375</v>
      </c>
      <c r="G102" s="48" t="s">
        <v>940</v>
      </c>
    </row>
    <row r="103" spans="1:7" ht="50.1" customHeight="1" thickBot="1" x14ac:dyDescent="0.3">
      <c r="A103" s="566"/>
      <c r="B103" s="44">
        <v>2</v>
      </c>
      <c r="C103" s="45" t="s">
        <v>926</v>
      </c>
      <c r="D103" s="46">
        <f t="shared" ref="D103:D111" si="0">COUNTIF($B$3:$B$91,B103)</f>
        <v>28</v>
      </c>
      <c r="E103" s="46">
        <f t="shared" ref="E103:E111" si="1">COUNTIFS($B$3:$B$93,B103,$D$3:$D$93,1)</f>
        <v>6</v>
      </c>
      <c r="F103" s="47">
        <f>E103/D103</f>
        <v>0.21428571428571427</v>
      </c>
      <c r="G103" s="48" t="s">
        <v>941</v>
      </c>
    </row>
    <row r="104" spans="1:7" ht="50.1" customHeight="1" thickBot="1" x14ac:dyDescent="0.3">
      <c r="A104" s="566"/>
      <c r="B104" s="44">
        <v>3</v>
      </c>
      <c r="C104" s="45" t="s">
        <v>927</v>
      </c>
      <c r="D104" s="46">
        <f t="shared" si="0"/>
        <v>5</v>
      </c>
      <c r="E104" s="46">
        <f t="shared" si="1"/>
        <v>1</v>
      </c>
      <c r="F104" s="47">
        <f t="shared" ref="F104:F110" si="2">E104/D104</f>
        <v>0.2</v>
      </c>
      <c r="G104" s="48" t="s">
        <v>942</v>
      </c>
    </row>
    <row r="105" spans="1:7" ht="50.1" customHeight="1" thickBot="1" x14ac:dyDescent="0.3">
      <c r="A105" s="567" t="s">
        <v>937</v>
      </c>
      <c r="B105" s="60">
        <v>4</v>
      </c>
      <c r="C105" s="61" t="s">
        <v>928</v>
      </c>
      <c r="D105" s="62">
        <f t="shared" si="0"/>
        <v>14</v>
      </c>
      <c r="E105" s="62">
        <f t="shared" si="1"/>
        <v>7</v>
      </c>
      <c r="F105" s="63">
        <f t="shared" si="2"/>
        <v>0.5</v>
      </c>
      <c r="G105" s="64" t="s">
        <v>943</v>
      </c>
    </row>
    <row r="106" spans="1:7" ht="50.1" customHeight="1" thickBot="1" x14ac:dyDescent="0.3">
      <c r="A106" s="567"/>
      <c r="B106" s="60">
        <v>5</v>
      </c>
      <c r="C106" s="61" t="s">
        <v>929</v>
      </c>
      <c r="D106" s="62">
        <f t="shared" si="0"/>
        <v>6</v>
      </c>
      <c r="E106" s="62">
        <f t="shared" si="1"/>
        <v>2</v>
      </c>
      <c r="F106" s="63">
        <f t="shared" si="2"/>
        <v>0.33333333333333331</v>
      </c>
      <c r="G106" s="64" t="s">
        <v>944</v>
      </c>
    </row>
    <row r="107" spans="1:7" ht="50.1" customHeight="1" thickBot="1" x14ac:dyDescent="0.3">
      <c r="A107" s="568" t="s">
        <v>936</v>
      </c>
      <c r="B107" s="40">
        <v>6</v>
      </c>
      <c r="C107" s="39" t="s">
        <v>930</v>
      </c>
      <c r="D107" s="32">
        <f t="shared" si="0"/>
        <v>12</v>
      </c>
      <c r="E107" s="32">
        <f t="shared" si="1"/>
        <v>7</v>
      </c>
      <c r="F107" s="41">
        <f t="shared" si="2"/>
        <v>0.58333333333333337</v>
      </c>
      <c r="G107" s="43" t="s">
        <v>945</v>
      </c>
    </row>
    <row r="108" spans="1:7" ht="50.1" customHeight="1" thickBot="1" x14ac:dyDescent="0.3">
      <c r="A108" s="569"/>
      <c r="B108" s="40">
        <v>7</v>
      </c>
      <c r="C108" s="39" t="s">
        <v>931</v>
      </c>
      <c r="D108" s="32">
        <f t="shared" si="0"/>
        <v>6</v>
      </c>
      <c r="E108" s="32">
        <f t="shared" si="1"/>
        <v>2</v>
      </c>
      <c r="F108" s="41">
        <f t="shared" si="2"/>
        <v>0.33333333333333331</v>
      </c>
      <c r="G108" s="43" t="s">
        <v>1206</v>
      </c>
    </row>
    <row r="109" spans="1:7" ht="50.1" customHeight="1" thickBot="1" x14ac:dyDescent="0.3">
      <c r="A109" s="570" t="s">
        <v>939</v>
      </c>
      <c r="B109" s="55">
        <v>8</v>
      </c>
      <c r="C109" s="56" t="s">
        <v>956</v>
      </c>
      <c r="D109" s="57">
        <f t="shared" si="0"/>
        <v>1</v>
      </c>
      <c r="E109" s="57">
        <f t="shared" si="1"/>
        <v>0</v>
      </c>
      <c r="F109" s="58">
        <f t="shared" si="2"/>
        <v>0</v>
      </c>
      <c r="G109" s="59" t="s">
        <v>946</v>
      </c>
    </row>
    <row r="110" spans="1:7" ht="50.1" customHeight="1" thickBot="1" x14ac:dyDescent="0.3">
      <c r="A110" s="570"/>
      <c r="B110" s="55">
        <v>9</v>
      </c>
      <c r="C110" s="56" t="s">
        <v>932</v>
      </c>
      <c r="D110" s="57">
        <f t="shared" si="0"/>
        <v>1</v>
      </c>
      <c r="E110" s="57">
        <f t="shared" si="1"/>
        <v>0</v>
      </c>
      <c r="F110" s="58">
        <f t="shared" si="2"/>
        <v>0</v>
      </c>
      <c r="G110" s="59" t="s">
        <v>947</v>
      </c>
    </row>
    <row r="111" spans="1:7" ht="75" customHeight="1" thickBot="1" x14ac:dyDescent="0.3">
      <c r="A111" s="49" t="s">
        <v>934</v>
      </c>
      <c r="B111" s="50">
        <v>10</v>
      </c>
      <c r="C111" s="51" t="s">
        <v>933</v>
      </c>
      <c r="D111" s="52">
        <f t="shared" si="0"/>
        <v>8</v>
      </c>
      <c r="E111" s="52">
        <f t="shared" si="1"/>
        <v>1</v>
      </c>
      <c r="F111" s="53">
        <f>E111/D111</f>
        <v>0.125</v>
      </c>
      <c r="G111" s="54" t="s">
        <v>948</v>
      </c>
    </row>
    <row r="112" spans="1:7" s="157" customFormat="1" ht="31.5" customHeight="1" thickBot="1" x14ac:dyDescent="0.25">
      <c r="A112" s="72"/>
      <c r="B112" s="72"/>
      <c r="C112" s="306" t="s">
        <v>973</v>
      </c>
      <c r="D112" s="72">
        <f>SUM(D102:D111)</f>
        <v>89</v>
      </c>
      <c r="E112" s="72">
        <f>SUM(E102:E111)</f>
        <v>29</v>
      </c>
      <c r="F112" s="71">
        <f>E112/D112</f>
        <v>0.3258426966292135</v>
      </c>
      <c r="G112" s="72"/>
    </row>
    <row r="116" spans="2:4" x14ac:dyDescent="0.25">
      <c r="B116" s="355" t="s">
        <v>1265</v>
      </c>
      <c r="C116" t="s">
        <v>1400</v>
      </c>
      <c r="D116"/>
    </row>
    <row r="117" spans="2:4" x14ac:dyDescent="0.25">
      <c r="B117" s="468">
        <v>10</v>
      </c>
      <c r="C117" s="467">
        <v>0.125</v>
      </c>
      <c r="D117"/>
    </row>
    <row r="118" spans="2:4" x14ac:dyDescent="0.25">
      <c r="B118" s="468">
        <v>9</v>
      </c>
      <c r="C118" s="467">
        <v>0</v>
      </c>
      <c r="D118"/>
    </row>
    <row r="119" spans="2:4" x14ac:dyDescent="0.25">
      <c r="B119" s="468">
        <v>8</v>
      </c>
      <c r="C119" s="467">
        <v>0</v>
      </c>
      <c r="D119"/>
    </row>
    <row r="120" spans="2:4" x14ac:dyDescent="0.25">
      <c r="B120" s="468">
        <v>7</v>
      </c>
      <c r="C120" s="467">
        <v>0.16666666666666666</v>
      </c>
      <c r="D120"/>
    </row>
    <row r="121" spans="2:4" x14ac:dyDescent="0.25">
      <c r="B121" s="468">
        <v>6</v>
      </c>
      <c r="C121" s="467">
        <v>0.33333333333333331</v>
      </c>
      <c r="D121"/>
    </row>
    <row r="122" spans="2:4" x14ac:dyDescent="0.25">
      <c r="B122" s="468">
        <v>5</v>
      </c>
      <c r="C122" s="467">
        <v>0.33333333333333331</v>
      </c>
      <c r="D122"/>
    </row>
    <row r="123" spans="2:4" x14ac:dyDescent="0.25">
      <c r="B123" s="468">
        <v>4</v>
      </c>
      <c r="C123" s="467">
        <v>0.14285714285714285</v>
      </c>
      <c r="D123"/>
    </row>
    <row r="124" spans="2:4" x14ac:dyDescent="0.25">
      <c r="B124" s="468">
        <v>3</v>
      </c>
      <c r="C124" s="467">
        <v>0.2</v>
      </c>
      <c r="D124"/>
    </row>
    <row r="125" spans="2:4" x14ac:dyDescent="0.25">
      <c r="B125" s="468">
        <v>2</v>
      </c>
      <c r="C125" s="467">
        <v>0.21428571428571427</v>
      </c>
      <c r="D125"/>
    </row>
    <row r="126" spans="2:4" x14ac:dyDescent="0.25">
      <c r="B126" s="468">
        <v>1</v>
      </c>
      <c r="C126" s="467">
        <v>0.375</v>
      </c>
      <c r="D126"/>
    </row>
    <row r="127" spans="2:4" x14ac:dyDescent="0.25">
      <c r="B127" s="468" t="s">
        <v>1221</v>
      </c>
      <c r="C127" s="467">
        <v>1.8904761904761902</v>
      </c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</row>
    <row r="135" spans="2:4" x14ac:dyDescent="0.25">
      <c r="B135"/>
      <c r="C135"/>
    </row>
    <row r="136" spans="2:4" x14ac:dyDescent="0.25">
      <c r="B136"/>
      <c r="C136"/>
    </row>
    <row r="137" spans="2:4" x14ac:dyDescent="0.25">
      <c r="B137"/>
      <c r="C137"/>
    </row>
  </sheetData>
  <autoFilter ref="A2:B94">
    <sortState ref="A3:B94">
      <sortCondition ref="A2:A94"/>
    </sortState>
  </autoFilter>
  <customSheetViews>
    <customSheetView guid="{6DFBCBA6-E327-48F2-941C-44ACD0154C7D}" scale="70" fitToPage="1" showAutoFilter="1" hiddenColumns="1">
      <pageMargins left="0.511811024" right="0.511811024" top="0.78740157499999996" bottom="0.78740157499999996" header="0.31496062000000002" footer="0.31496062000000002"/>
      <pageSetup paperSize="9" scale="26" fitToWidth="0" orientation="portrait" r:id="rId2"/>
      <autoFilter ref="A2:B97"/>
    </customSheetView>
    <customSheetView guid="{9DA56328-1E02-4631-BF3A-66F8FD0B96FD}" scale="70" fitToPage="1" showAutoFilter="1" hiddenColumns="1">
      <pageMargins left="0.511811024" right="0.511811024" top="0.78740157499999996" bottom="0.78740157499999996" header="0.31496062000000002" footer="0.31496062000000002"/>
      <pageSetup paperSize="9" scale="26" fitToWidth="0" orientation="portrait" r:id="rId3"/>
      <autoFilter ref="A2:B97"/>
    </customSheetView>
  </customSheetViews>
  <mergeCells count="5">
    <mergeCell ref="A102:A104"/>
    <mergeCell ref="A105:A106"/>
    <mergeCell ref="A107:A108"/>
    <mergeCell ref="A109:A110"/>
    <mergeCell ref="B96:C96"/>
  </mergeCells>
  <pageMargins left="0.511811024" right="0.511811024" top="0.78740157499999996" bottom="0.78740157499999996" header="0.31496062000000002" footer="0.31496062000000002"/>
  <pageSetup paperSize="9" scale="25" fitToWidth="0" orientation="portrait" r:id="rId4"/>
  <ignoredErrors>
    <ignoredError sqref="C70 C60" formula="1"/>
  </ignoredErrors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0"/>
  <sheetViews>
    <sheetView topLeftCell="A130" zoomScaleNormal="100" workbookViewId="0">
      <selection activeCell="D155" sqref="D155"/>
    </sheetView>
  </sheetViews>
  <sheetFormatPr defaultColWidth="68.28515625" defaultRowHeight="15" x14ac:dyDescent="0.25"/>
  <cols>
    <col min="1" max="1" width="12.85546875" style="29" bestFit="1" customWidth="1"/>
    <col min="2" max="2" width="11.7109375" style="30" customWidth="1"/>
    <col min="3" max="3" width="68" style="30" customWidth="1"/>
    <col min="4" max="4" width="12.140625" style="29" customWidth="1"/>
    <col min="5" max="16384" width="68.28515625" style="29"/>
  </cols>
  <sheetData>
    <row r="1" spans="1:4" ht="15.75" thickBot="1" x14ac:dyDescent="0.3">
      <c r="A1" s="29" t="s">
        <v>1101</v>
      </c>
    </row>
    <row r="2" spans="1:4" s="1" customFormat="1" ht="16.5" thickBot="1" x14ac:dyDescent="0.3">
      <c r="A2" s="163" t="s">
        <v>679</v>
      </c>
      <c r="B2" s="163" t="s">
        <v>759</v>
      </c>
      <c r="C2" s="164" t="s">
        <v>207</v>
      </c>
      <c r="D2" s="209" t="s">
        <v>905</v>
      </c>
    </row>
    <row r="3" spans="1:4" ht="15.75" thickBot="1" x14ac:dyDescent="0.3">
      <c r="A3" s="158" t="s">
        <v>15</v>
      </c>
      <c r="B3" s="142" t="s">
        <v>703</v>
      </c>
      <c r="C3" s="208" t="str">
        <f>VLOOKUP(A3,'2-Inventário de Necessidades'!$A$2:$C$63,3)</f>
        <v>Viabilização de solução para atender à Nova Contabilidade do Setor Público</v>
      </c>
      <c r="D3" s="155">
        <f>VLOOKUP(A3,'2-Inventário de Necessidades'!$A$2:$R$63,18)</f>
        <v>0.75</v>
      </c>
    </row>
    <row r="4" spans="1:4" ht="15.75" thickBot="1" x14ac:dyDescent="0.3">
      <c r="A4" s="158" t="s">
        <v>15</v>
      </c>
      <c r="B4" s="142" t="s">
        <v>705</v>
      </c>
      <c r="C4" s="208" t="str">
        <f>VLOOKUP(A4,'2-Inventário de Necessidades'!$A$2:$C$63,3)</f>
        <v>Viabilização de solução para atender à Nova Contabilidade do Setor Público</v>
      </c>
      <c r="D4" s="155">
        <f>VLOOKUP(A4,'2-Inventário de Necessidades'!$A$2:$R$63,18)</f>
        <v>0.75</v>
      </c>
    </row>
    <row r="5" spans="1:4" ht="15.75" thickBot="1" x14ac:dyDescent="0.3">
      <c r="A5" s="158" t="s">
        <v>15</v>
      </c>
      <c r="B5" s="142" t="s">
        <v>247</v>
      </c>
      <c r="C5" s="208" t="str">
        <f>VLOOKUP(A5,'2-Inventário de Necessidades'!$A$2:$C$63,3)</f>
        <v>Viabilização de solução para atender à Nova Contabilidade do Setor Público</v>
      </c>
      <c r="D5" s="155">
        <f>VLOOKUP(A5,'2-Inventário de Necessidades'!$A$2:$R$63,18)</f>
        <v>0.75</v>
      </c>
    </row>
    <row r="6" spans="1:4" ht="15.75" thickBot="1" x14ac:dyDescent="0.3">
      <c r="A6" s="158" t="s">
        <v>18</v>
      </c>
      <c r="B6" s="142" t="s">
        <v>700</v>
      </c>
      <c r="C6" s="208" t="str">
        <f>VLOOKUP(A6,'2-Inventário de Necessidades'!$A$2:$C$63,3)</f>
        <v>Viabilização de solução para fiscalização de licitações e contratos</v>
      </c>
      <c r="D6" s="155">
        <f>VLOOKUP(A6,'2-Inventário de Necessidades'!$A$2:$R$63,18)</f>
        <v>1</v>
      </c>
    </row>
    <row r="7" spans="1:4" ht="15.75" thickBot="1" x14ac:dyDescent="0.3">
      <c r="A7" s="158" t="s">
        <v>18</v>
      </c>
      <c r="B7" s="142" t="s">
        <v>711</v>
      </c>
      <c r="C7" s="208" t="str">
        <f>VLOOKUP(A7,'2-Inventário de Necessidades'!$A$2:$C$63,3)</f>
        <v>Viabilização de solução para fiscalização de licitações e contratos</v>
      </c>
      <c r="D7" s="155">
        <f>VLOOKUP(A7,'2-Inventário de Necessidades'!$A$2:$R$63,18)</f>
        <v>1</v>
      </c>
    </row>
    <row r="8" spans="1:4" ht="15.75" thickBot="1" x14ac:dyDescent="0.3">
      <c r="A8" s="158" t="s">
        <v>18</v>
      </c>
      <c r="B8" s="142" t="s">
        <v>712</v>
      </c>
      <c r="C8" s="208" t="str">
        <f>VLOOKUP(A8,'2-Inventário de Necessidades'!$A$2:$C$63,3)</f>
        <v>Viabilização de solução para fiscalização de licitações e contratos</v>
      </c>
      <c r="D8" s="155">
        <f>VLOOKUP(A8,'2-Inventário de Necessidades'!$A$2:$R$63,18)</f>
        <v>1</v>
      </c>
    </row>
    <row r="9" spans="1:4" ht="15.75" thickBot="1" x14ac:dyDescent="0.3">
      <c r="A9" s="158" t="s">
        <v>18</v>
      </c>
      <c r="B9" s="142" t="s">
        <v>713</v>
      </c>
      <c r="C9" s="208" t="str">
        <f>VLOOKUP(A9,'2-Inventário de Necessidades'!$A$2:$C$63,3)</f>
        <v>Viabilização de solução para fiscalização de licitações e contratos</v>
      </c>
      <c r="D9" s="155">
        <f>VLOOKUP(A9,'2-Inventário de Necessidades'!$A$2:$R$63,18)</f>
        <v>1</v>
      </c>
    </row>
    <row r="10" spans="1:4" ht="15.75" thickBot="1" x14ac:dyDescent="0.3">
      <c r="A10" s="158" t="s">
        <v>18</v>
      </c>
      <c r="B10" s="142" t="s">
        <v>247</v>
      </c>
      <c r="C10" s="208" t="str">
        <f>VLOOKUP(A10,'2-Inventário de Necessidades'!$A$2:$C$63,3)</f>
        <v>Viabilização de solução para fiscalização de licitações e contratos</v>
      </c>
      <c r="D10" s="155">
        <f>VLOOKUP(A10,'2-Inventário de Necessidades'!$A$2:$R$63,18)</f>
        <v>1</v>
      </c>
    </row>
    <row r="11" spans="1:4" ht="15.75" thickBot="1" x14ac:dyDescent="0.3">
      <c r="A11" s="158" t="s">
        <v>18</v>
      </c>
      <c r="B11" s="142" t="s">
        <v>1098</v>
      </c>
      <c r="C11" s="208" t="str">
        <f>VLOOKUP(A11,'2-Inventário de Necessidades'!$A$2:$C$63,3)</f>
        <v>Viabilização de solução para fiscalização de licitações e contratos</v>
      </c>
      <c r="D11" s="155">
        <f>VLOOKUP(A11,'2-Inventário de Necessidades'!$A$2:$R$63,18)</f>
        <v>1</v>
      </c>
    </row>
    <row r="12" spans="1:4" ht="15.75" thickBot="1" x14ac:dyDescent="0.3">
      <c r="A12" s="158" t="s">
        <v>20</v>
      </c>
      <c r="B12" s="142" t="s">
        <v>719</v>
      </c>
      <c r="C12" s="208" t="str">
        <f>VLOOKUP(A12,'2-Inventário de Necessidades'!$A$2:$C$63,3)</f>
        <v>Contratação de serviço técnico especializado em desenvolvimento e manutenção de software,infraestrutura de TI e administração de banco de dados</v>
      </c>
      <c r="D12" s="155">
        <f>VLOOKUP(A12,'2-Inventário de Necessidades'!$A$2:$R$63,18)</f>
        <v>1</v>
      </c>
    </row>
    <row r="13" spans="1:4" ht="15.75" thickBot="1" x14ac:dyDescent="0.3">
      <c r="A13" s="158" t="s">
        <v>20</v>
      </c>
      <c r="B13" s="142" t="s">
        <v>721</v>
      </c>
      <c r="C13" s="208" t="str">
        <f>VLOOKUP(A13,'2-Inventário de Necessidades'!$A$2:$C$63,3)</f>
        <v>Contratação de serviço técnico especializado em desenvolvimento e manutenção de software,infraestrutura de TI e administração de banco de dados</v>
      </c>
      <c r="D13" s="155">
        <f>VLOOKUP(A13,'2-Inventário de Necessidades'!$A$2:$R$63,18)</f>
        <v>1</v>
      </c>
    </row>
    <row r="14" spans="1:4" ht="15.75" thickBot="1" x14ac:dyDescent="0.3">
      <c r="A14" s="158" t="s">
        <v>23</v>
      </c>
      <c r="B14" s="142" t="s">
        <v>699</v>
      </c>
      <c r="C14" s="208" t="str">
        <f>VLOOKUP(A14,'2-Inventário de Necessidades'!$A$2:$C$63,3)</f>
        <v>Desenvolvimento de solução de modernização do sistema de Plenário</v>
      </c>
      <c r="D14" s="155">
        <f>VLOOKUP(A14,'2-Inventário de Necessidades'!$A$2:$R$63,18)</f>
        <v>1</v>
      </c>
    </row>
    <row r="15" spans="1:4" ht="15.75" thickBot="1" x14ac:dyDescent="0.3">
      <c r="A15" s="158" t="s">
        <v>23</v>
      </c>
      <c r="B15" s="142" t="s">
        <v>247</v>
      </c>
      <c r="C15" s="208" t="str">
        <f>VLOOKUP(A15,'2-Inventário de Necessidades'!$A$2:$C$63,3)</f>
        <v>Desenvolvimento de solução de modernização do sistema de Plenário</v>
      </c>
      <c r="D15" s="155">
        <f>VLOOKUP(A15,'2-Inventário de Necessidades'!$A$2:$R$63,18)</f>
        <v>1</v>
      </c>
    </row>
    <row r="16" spans="1:4" ht="15.75" thickBot="1" x14ac:dyDescent="0.3">
      <c r="A16" s="158" t="s">
        <v>25</v>
      </c>
      <c r="B16" s="142" t="s">
        <v>705</v>
      </c>
      <c r="C16" s="208" t="str">
        <f>VLOOKUP(A16,'2-Inventário de Necessidades'!$A$2:$C$63,3)</f>
        <v>Desenvolvimento de solução para gerenciamento de informações sobre gestores com contas julgadas irregulares</v>
      </c>
      <c r="D16" s="155">
        <f>VLOOKUP(A16,'2-Inventário de Necessidades'!$A$2:$R$63,18)</f>
        <v>0</v>
      </c>
    </row>
    <row r="17" spans="1:4" ht="15.75" thickBot="1" x14ac:dyDescent="0.3">
      <c r="A17" s="158" t="s">
        <v>25</v>
      </c>
      <c r="B17" s="142" t="s">
        <v>247</v>
      </c>
      <c r="C17" s="208" t="str">
        <f>VLOOKUP(A17,'2-Inventário de Necessidades'!$A$2:$C$63,3)</f>
        <v>Desenvolvimento de solução para gerenciamento de informações sobre gestores com contas julgadas irregulares</v>
      </c>
      <c r="D17" s="155">
        <f>VLOOKUP(A17,'2-Inventário de Necessidades'!$A$2:$R$63,18)</f>
        <v>0</v>
      </c>
    </row>
    <row r="18" spans="1:4" ht="15.75" thickBot="1" x14ac:dyDescent="0.3">
      <c r="A18" s="158" t="s">
        <v>28</v>
      </c>
      <c r="B18" s="142" t="s">
        <v>225</v>
      </c>
      <c r="C18" s="208" t="str">
        <f>VLOOKUP(A18,'2-Inventário de Necessidades'!$A$2:$C$63,3)</f>
        <v>Desenvolvimento de solução de aprimoramento do acompanhamento de decisões</v>
      </c>
      <c r="D18" s="155">
        <f>VLOOKUP(A18,'2-Inventário de Necessidades'!$A$2:$R$63,18)</f>
        <v>0.5</v>
      </c>
    </row>
    <row r="19" spans="1:4" ht="15.75" thickBot="1" x14ac:dyDescent="0.3">
      <c r="A19" s="158" t="s">
        <v>28</v>
      </c>
      <c r="B19" s="142" t="s">
        <v>1098</v>
      </c>
      <c r="C19" s="208" t="str">
        <f>VLOOKUP(A19,'2-Inventário de Necessidades'!$A$2:$C$63,3)</f>
        <v>Desenvolvimento de solução de aprimoramento do acompanhamento de decisões</v>
      </c>
      <c r="D19" s="155">
        <f>VLOOKUP(A19,'2-Inventário de Necessidades'!$A$2:$R$63,18)</f>
        <v>0.5</v>
      </c>
    </row>
    <row r="20" spans="1:4" ht="15.75" thickBot="1" x14ac:dyDescent="0.3">
      <c r="A20" s="158" t="s">
        <v>30</v>
      </c>
      <c r="B20" s="142" t="s">
        <v>265</v>
      </c>
      <c r="C20" s="208" t="str">
        <f>VLOOKUP(A20,'2-Inventário de Necessidades'!$A$2:$C$63,3)</f>
        <v>Desenvolvimento de solução de sistematização e consolidação de normas e jurisprudência</v>
      </c>
      <c r="D20" s="155">
        <f>VLOOKUP(A20,'2-Inventário de Necessidades'!$A$2:$R$63,18)</f>
        <v>0.5</v>
      </c>
    </row>
    <row r="21" spans="1:4" ht="15.75" thickBot="1" x14ac:dyDescent="0.3">
      <c r="A21" s="158" t="s">
        <v>30</v>
      </c>
      <c r="B21" s="142" t="s">
        <v>699</v>
      </c>
      <c r="C21" s="208" t="str">
        <f>VLOOKUP(A21,'2-Inventário de Necessidades'!$A$2:$C$63,3)</f>
        <v>Desenvolvimento de solução de sistematização e consolidação de normas e jurisprudência</v>
      </c>
      <c r="D21" s="155">
        <f>VLOOKUP(A21,'2-Inventário de Necessidades'!$A$2:$R$63,18)</f>
        <v>0.5</v>
      </c>
    </row>
    <row r="22" spans="1:4" ht="15.75" thickBot="1" x14ac:dyDescent="0.3">
      <c r="A22" s="158" t="s">
        <v>30</v>
      </c>
      <c r="B22" s="142" t="s">
        <v>247</v>
      </c>
      <c r="C22" s="208" t="str">
        <f>VLOOKUP(A22,'2-Inventário de Necessidades'!$A$2:$C$63,3)</f>
        <v>Desenvolvimento de solução de sistematização e consolidação de normas e jurisprudência</v>
      </c>
      <c r="D22" s="155">
        <f>VLOOKUP(A22,'2-Inventário de Necessidades'!$A$2:$R$63,18)</f>
        <v>0.5</v>
      </c>
    </row>
    <row r="23" spans="1:4" ht="15.75" thickBot="1" x14ac:dyDescent="0.3">
      <c r="A23" s="158" t="s">
        <v>30</v>
      </c>
      <c r="B23" s="142" t="s">
        <v>1098</v>
      </c>
      <c r="C23" s="208" t="str">
        <f>VLOOKUP(A23,'2-Inventário de Necessidades'!$A$2:$C$63,3)</f>
        <v>Desenvolvimento de solução de sistematização e consolidação de normas e jurisprudência</v>
      </c>
      <c r="D23" s="155">
        <f>VLOOKUP(A23,'2-Inventário de Necessidades'!$A$2:$R$63,18)</f>
        <v>0.5</v>
      </c>
    </row>
    <row r="24" spans="1:4" ht="15.75" thickBot="1" x14ac:dyDescent="0.3">
      <c r="A24" s="158" t="s">
        <v>32</v>
      </c>
      <c r="B24" s="142" t="s">
        <v>719</v>
      </c>
      <c r="C24" s="208" t="str">
        <f>VLOOKUP(A24,'2-Inventário de Necessidades'!$A$2:$C$63,3)</f>
        <v>Manutenção, ampliação e melhoria da infraestrutura de TI e da 
rede de comunicação</v>
      </c>
      <c r="D24" s="155">
        <f>VLOOKUP(A24,'2-Inventário de Necessidades'!$A$2:$R$63,18)</f>
        <v>0.8571428571428571</v>
      </c>
    </row>
    <row r="25" spans="1:4" ht="15.75" thickBot="1" x14ac:dyDescent="0.3">
      <c r="A25" s="158" t="s">
        <v>32</v>
      </c>
      <c r="B25" s="142" t="s">
        <v>721</v>
      </c>
      <c r="C25" s="208" t="str">
        <f>VLOOKUP(A25,'2-Inventário de Necessidades'!$A$2:$C$63,3)</f>
        <v>Manutenção, ampliação e melhoria da infraestrutura de TI e da 
rede de comunicação</v>
      </c>
      <c r="D25" s="155">
        <f>VLOOKUP(A25,'2-Inventário de Necessidades'!$A$2:$R$63,18)</f>
        <v>0.8571428571428571</v>
      </c>
    </row>
    <row r="26" spans="1:4" ht="15.75" thickBot="1" x14ac:dyDescent="0.3">
      <c r="A26" s="158" t="s">
        <v>45</v>
      </c>
      <c r="B26" s="142" t="s">
        <v>265</v>
      </c>
      <c r="C26" s="208" t="str">
        <f>VLOOKUP(A26,'2-Inventário de Necessidades'!$A$2:$C$63,3)</f>
        <v>Sustentação e evolução do sistema TCE-Juris</v>
      </c>
      <c r="D26" s="155">
        <f>VLOOKUP(A26,'2-Inventário de Necessidades'!$A$2:$R$63,18)</f>
        <v>1</v>
      </c>
    </row>
    <row r="27" spans="1:4" ht="15.75" thickBot="1" x14ac:dyDescent="0.3">
      <c r="A27" s="158" t="s">
        <v>45</v>
      </c>
      <c r="B27" s="142" t="s">
        <v>699</v>
      </c>
      <c r="C27" s="208" t="str">
        <f>VLOOKUP(A27,'2-Inventário de Necessidades'!$A$2:$C$63,3)</f>
        <v>Sustentação e evolução do sistema TCE-Juris</v>
      </c>
      <c r="D27" s="155">
        <f>VLOOKUP(A27,'2-Inventário de Necessidades'!$A$2:$R$63,18)</f>
        <v>1</v>
      </c>
    </row>
    <row r="28" spans="1:4" ht="15.75" thickBot="1" x14ac:dyDescent="0.3">
      <c r="A28" s="158" t="s">
        <v>45</v>
      </c>
      <c r="B28" s="142" t="s">
        <v>1098</v>
      </c>
      <c r="C28" s="208" t="str">
        <f>VLOOKUP(A28,'2-Inventário de Necessidades'!$A$2:$C$63,3)</f>
        <v>Sustentação e evolução do sistema TCE-Juris</v>
      </c>
      <c r="D28" s="155">
        <f>VLOOKUP(A28,'2-Inventário de Necessidades'!$A$2:$R$63,18)</f>
        <v>1</v>
      </c>
    </row>
    <row r="29" spans="1:4" ht="15.75" thickBot="1" x14ac:dyDescent="0.3">
      <c r="A29" s="158" t="s">
        <v>47</v>
      </c>
      <c r="B29" s="142" t="s">
        <v>710</v>
      </c>
      <c r="C29" s="208" t="str">
        <f>VLOOKUP(A29,'2-Inventário de Necessidades'!$A$2:$C$63,3)</f>
        <v>Implantação de Comitê Estratégico de TI</v>
      </c>
      <c r="D29" s="155">
        <f>VLOOKUP(A29,'2-Inventário de Necessidades'!$A$2:$R$63,18)</f>
        <v>1</v>
      </c>
    </row>
    <row r="30" spans="1:4" ht="15.75" thickBot="1" x14ac:dyDescent="0.3">
      <c r="A30" s="158" t="s">
        <v>47</v>
      </c>
      <c r="B30" s="142" t="s">
        <v>717</v>
      </c>
      <c r="C30" s="208" t="str">
        <f>VLOOKUP(A30,'2-Inventário de Necessidades'!$A$2:$C$63,3)</f>
        <v>Implantação de Comitê Estratégico de TI</v>
      </c>
      <c r="D30" s="155">
        <f>VLOOKUP(A30,'2-Inventário de Necessidades'!$A$2:$R$63,18)</f>
        <v>1</v>
      </c>
    </row>
    <row r="31" spans="1:4" ht="15.75" thickBot="1" x14ac:dyDescent="0.3">
      <c r="A31" s="158" t="s">
        <v>47</v>
      </c>
      <c r="B31" s="142" t="s">
        <v>697</v>
      </c>
      <c r="C31" s="208" t="str">
        <f>VLOOKUP(A31,'2-Inventário de Necessidades'!$A$2:$C$63,3)</f>
        <v>Implantação de Comitê Estratégico de TI</v>
      </c>
      <c r="D31" s="155">
        <f>VLOOKUP(A31,'2-Inventário de Necessidades'!$A$2:$R$63,18)</f>
        <v>1</v>
      </c>
    </row>
    <row r="32" spans="1:4" ht="15.75" thickBot="1" x14ac:dyDescent="0.3">
      <c r="A32" s="158" t="s">
        <v>47</v>
      </c>
      <c r="B32" s="142" t="s">
        <v>718</v>
      </c>
      <c r="C32" s="208" t="str">
        <f>VLOOKUP(A32,'2-Inventário de Necessidades'!$A$2:$C$63,3)</f>
        <v>Implantação de Comitê Estratégico de TI</v>
      </c>
      <c r="D32" s="155">
        <f>VLOOKUP(A32,'2-Inventário de Necessidades'!$A$2:$R$63,18)</f>
        <v>1</v>
      </c>
    </row>
    <row r="33" spans="1:4" ht="15.75" thickBot="1" x14ac:dyDescent="0.3">
      <c r="A33" s="158" t="s">
        <v>47</v>
      </c>
      <c r="B33" s="142" t="s">
        <v>720</v>
      </c>
      <c r="C33" s="208" t="str">
        <f>VLOOKUP(A33,'2-Inventário de Necessidades'!$A$2:$C$63,3)</f>
        <v>Implantação de Comitê Estratégico de TI</v>
      </c>
      <c r="D33" s="155">
        <f>VLOOKUP(A33,'2-Inventário de Necessidades'!$A$2:$R$63,18)</f>
        <v>1</v>
      </c>
    </row>
    <row r="34" spans="1:4" ht="15.75" thickBot="1" x14ac:dyDescent="0.3">
      <c r="A34" s="158" t="s">
        <v>47</v>
      </c>
      <c r="B34" s="142" t="s">
        <v>1098</v>
      </c>
      <c r="C34" s="208" t="str">
        <f>VLOOKUP(A34,'2-Inventário de Necessidades'!$A$2:$C$63,3)</f>
        <v>Implantação de Comitê Estratégico de TI</v>
      </c>
      <c r="D34" s="155">
        <f>VLOOKUP(A34,'2-Inventário de Necessidades'!$A$2:$R$63,18)</f>
        <v>1</v>
      </c>
    </row>
    <row r="35" spans="1:4" ht="15.75" thickBot="1" x14ac:dyDescent="0.3">
      <c r="A35" s="158" t="s">
        <v>50</v>
      </c>
      <c r="B35" s="142" t="s">
        <v>710</v>
      </c>
      <c r="C35" s="208" t="str">
        <f>VLOOKUP(A35,'2-Inventário de Necessidades'!$A$2:$C$63,3)</f>
        <v>Elaboração e execução de gerenciamento de portfólio de projetos de TI</v>
      </c>
      <c r="D35" s="155">
        <f>VLOOKUP(A35,'2-Inventário de Necessidades'!$A$2:$R$63,18)</f>
        <v>0.66666666666666663</v>
      </c>
    </row>
    <row r="36" spans="1:4" ht="15.75" thickBot="1" x14ac:dyDescent="0.3">
      <c r="A36" s="158" t="s">
        <v>50</v>
      </c>
      <c r="B36" s="142" t="s">
        <v>697</v>
      </c>
      <c r="C36" s="208" t="str">
        <f>VLOOKUP(A36,'2-Inventário de Necessidades'!$A$2:$C$63,3)</f>
        <v>Elaboração e execução de gerenciamento de portfólio de projetos de TI</v>
      </c>
      <c r="D36" s="155">
        <f>VLOOKUP(A36,'2-Inventário de Necessidades'!$A$2:$R$63,18)</f>
        <v>0.66666666666666663</v>
      </c>
    </row>
    <row r="37" spans="1:4" ht="15.75" thickBot="1" x14ac:dyDescent="0.3">
      <c r="A37" s="158" t="s">
        <v>50</v>
      </c>
      <c r="B37" s="142" t="s">
        <v>698</v>
      </c>
      <c r="C37" s="208" t="str">
        <f>VLOOKUP(A37,'2-Inventário de Necessidades'!$A$2:$C$63,3)</f>
        <v>Elaboração e execução de gerenciamento de portfólio de projetos de TI</v>
      </c>
      <c r="D37" s="155">
        <f>VLOOKUP(A37,'2-Inventário de Necessidades'!$A$2:$R$63,18)</f>
        <v>0.66666666666666663</v>
      </c>
    </row>
    <row r="38" spans="1:4" ht="15.75" thickBot="1" x14ac:dyDescent="0.3">
      <c r="A38" s="158" t="s">
        <v>54</v>
      </c>
      <c r="B38" s="142" t="s">
        <v>232</v>
      </c>
      <c r="C38" s="208" t="str">
        <f>VLOOKUP(A38,'2-Inventário de Necessidades'!$A$2:$C$63,3)</f>
        <v>Ampliação e valorização do quadro de servidores de TI.</v>
      </c>
      <c r="D38" s="155">
        <f>VLOOKUP(A38,'2-Inventário de Necessidades'!$A$2:$R$63,18)</f>
        <v>0.5</v>
      </c>
    </row>
    <row r="39" spans="1:4" ht="15.75" thickBot="1" x14ac:dyDescent="0.3">
      <c r="A39" s="158" t="s">
        <v>57</v>
      </c>
      <c r="B39" s="142" t="s">
        <v>234</v>
      </c>
      <c r="C39" s="208" t="str">
        <f>VLOOKUP(A39,'2-Inventário de Necessidades'!$A$2:$C$63,3)</f>
        <v>Sustentação e evolução do sistema GPRO</v>
      </c>
      <c r="D39" s="155">
        <f>VLOOKUP(A39,'2-Inventário de Necessidades'!$A$2:$R$63,18)</f>
        <v>1</v>
      </c>
    </row>
    <row r="40" spans="1:4" ht="15.75" thickBot="1" x14ac:dyDescent="0.3">
      <c r="A40" s="158" t="s">
        <v>60</v>
      </c>
      <c r="B40" s="142" t="s">
        <v>710</v>
      </c>
      <c r="C40" s="208" t="str">
        <f>VLOOKUP(A40,'2-Inventário de Necessidades'!$A$2:$C$63,3)</f>
        <v>Implantação da governança de TI</v>
      </c>
      <c r="D40" s="155">
        <f>VLOOKUP(A40,'2-Inventário de Necessidades'!$A$2:$R$63,18)</f>
        <v>0</v>
      </c>
    </row>
    <row r="41" spans="1:4" ht="15.75" thickBot="1" x14ac:dyDescent="0.3">
      <c r="A41" s="158" t="s">
        <v>60</v>
      </c>
      <c r="B41" s="142" t="s">
        <v>247</v>
      </c>
      <c r="C41" s="208" t="str">
        <f>VLOOKUP(A41,'2-Inventário de Necessidades'!$A$2:$C$63,3)</f>
        <v>Implantação da governança de TI</v>
      </c>
      <c r="D41" s="155">
        <f>VLOOKUP(A41,'2-Inventário de Necessidades'!$A$2:$R$63,18)</f>
        <v>0</v>
      </c>
    </row>
    <row r="42" spans="1:4" ht="15.75" thickBot="1" x14ac:dyDescent="0.3">
      <c r="A42" s="158" t="s">
        <v>60</v>
      </c>
      <c r="B42" s="142" t="s">
        <v>716</v>
      </c>
      <c r="C42" s="208" t="str">
        <f>VLOOKUP(A42,'2-Inventário de Necessidades'!$A$2:$C$63,3)</f>
        <v>Implantação da governança de TI</v>
      </c>
      <c r="D42" s="155">
        <f>VLOOKUP(A42,'2-Inventário de Necessidades'!$A$2:$R$63,18)</f>
        <v>0</v>
      </c>
    </row>
    <row r="43" spans="1:4" ht="15.75" thickBot="1" x14ac:dyDescent="0.3">
      <c r="A43" s="158" t="s">
        <v>60</v>
      </c>
      <c r="B43" s="142" t="s">
        <v>717</v>
      </c>
      <c r="C43" s="208" t="str">
        <f>VLOOKUP(A43,'2-Inventário de Necessidades'!$A$2:$C$63,3)</f>
        <v>Implantação da governança de TI</v>
      </c>
      <c r="D43" s="155">
        <f>VLOOKUP(A43,'2-Inventário de Necessidades'!$A$2:$R$63,18)</f>
        <v>0</v>
      </c>
    </row>
    <row r="44" spans="1:4" ht="15.75" thickBot="1" x14ac:dyDescent="0.3">
      <c r="A44" s="158" t="s">
        <v>60</v>
      </c>
      <c r="B44" s="142" t="s">
        <v>697</v>
      </c>
      <c r="C44" s="208" t="str">
        <f>VLOOKUP(A44,'2-Inventário de Necessidades'!$A$2:$C$63,3)</f>
        <v>Implantação da governança de TI</v>
      </c>
      <c r="D44" s="155">
        <f>VLOOKUP(A44,'2-Inventário de Necessidades'!$A$2:$R$63,18)</f>
        <v>0</v>
      </c>
    </row>
    <row r="45" spans="1:4" ht="15.75" thickBot="1" x14ac:dyDescent="0.3">
      <c r="A45" s="158" t="s">
        <v>60</v>
      </c>
      <c r="B45" s="142" t="s">
        <v>718</v>
      </c>
      <c r="C45" s="208" t="str">
        <f>VLOOKUP(A45,'2-Inventário de Necessidades'!$A$2:$C$63,3)</f>
        <v>Implantação da governança de TI</v>
      </c>
      <c r="D45" s="155">
        <f>VLOOKUP(A45,'2-Inventário de Necessidades'!$A$2:$R$63,18)</f>
        <v>0</v>
      </c>
    </row>
    <row r="46" spans="1:4" ht="15.75" thickBot="1" x14ac:dyDescent="0.3">
      <c r="A46" s="158" t="s">
        <v>60</v>
      </c>
      <c r="B46" s="142" t="s">
        <v>698</v>
      </c>
      <c r="C46" s="208" t="str">
        <f>VLOOKUP(A46,'2-Inventário de Necessidades'!$A$2:$C$63,3)</f>
        <v>Implantação da governança de TI</v>
      </c>
      <c r="D46" s="155">
        <f>VLOOKUP(A46,'2-Inventário de Necessidades'!$A$2:$R$63,18)</f>
        <v>0</v>
      </c>
    </row>
    <row r="47" spans="1:4" ht="15.75" thickBot="1" x14ac:dyDescent="0.3">
      <c r="A47" s="158" t="s">
        <v>60</v>
      </c>
      <c r="B47" s="142" t="s">
        <v>720</v>
      </c>
      <c r="C47" s="208" t="str">
        <f>VLOOKUP(A47,'2-Inventário de Necessidades'!$A$2:$C$63,3)</f>
        <v>Implantação da governança de TI</v>
      </c>
      <c r="D47" s="155">
        <f>VLOOKUP(A47,'2-Inventário de Necessidades'!$A$2:$R$63,18)</f>
        <v>0</v>
      </c>
    </row>
    <row r="48" spans="1:4" ht="15.75" thickBot="1" x14ac:dyDescent="0.3">
      <c r="A48" s="158" t="s">
        <v>65</v>
      </c>
      <c r="B48" s="142" t="s">
        <v>234</v>
      </c>
      <c r="C48" s="208" t="str">
        <f>VLOOKUP(A48,'2-Inventário de Necessidades'!$A$2:$C$63,3)</f>
        <v>Conclusão da implantação de processo eletrônico</v>
      </c>
      <c r="D48" s="155">
        <f>VLOOKUP(A48,'2-Inventário de Necessidades'!$A$2:$R$63,18)</f>
        <v>0.66666666666666663</v>
      </c>
    </row>
    <row r="49" spans="1:4" ht="15.75" thickBot="1" x14ac:dyDescent="0.3">
      <c r="A49" s="158" t="s">
        <v>65</v>
      </c>
      <c r="B49" s="142" t="s">
        <v>704</v>
      </c>
      <c r="C49" s="208" t="str">
        <f>VLOOKUP(A49,'2-Inventário de Necessidades'!$A$2:$C$63,3)</f>
        <v>Conclusão da implantação de processo eletrônico</v>
      </c>
      <c r="D49" s="155">
        <f>VLOOKUP(A49,'2-Inventário de Necessidades'!$A$2:$R$63,18)</f>
        <v>0.66666666666666663</v>
      </c>
    </row>
    <row r="50" spans="1:4" ht="15.75" thickBot="1" x14ac:dyDescent="0.3">
      <c r="A50" s="158" t="s">
        <v>65</v>
      </c>
      <c r="B50" s="142" t="s">
        <v>247</v>
      </c>
      <c r="C50" s="208" t="str">
        <f>VLOOKUP(A50,'2-Inventário de Necessidades'!$A$2:$C$63,3)</f>
        <v>Conclusão da implantação de processo eletrônico</v>
      </c>
      <c r="D50" s="155">
        <f>VLOOKUP(A50,'2-Inventário de Necessidades'!$A$2:$R$63,18)</f>
        <v>0.66666666666666663</v>
      </c>
    </row>
    <row r="51" spans="1:4" ht="15.75" thickBot="1" x14ac:dyDescent="0.3">
      <c r="A51" s="158" t="s">
        <v>68</v>
      </c>
      <c r="B51" s="142" t="s">
        <v>710</v>
      </c>
      <c r="C51" s="208" t="str">
        <f>VLOOKUP(A51,'2-Inventário de Necessidades'!$A$2:$C$63,3)</f>
        <v>Acompanhamento e transparência na execução das ações constantes no PDTI</v>
      </c>
      <c r="D51" s="155">
        <f>VLOOKUP(A51,'2-Inventário de Necessidades'!$A$2:$R$63,18)</f>
        <v>1</v>
      </c>
    </row>
    <row r="52" spans="1:4" ht="15.75" thickBot="1" x14ac:dyDescent="0.3">
      <c r="A52" s="158" t="s">
        <v>68</v>
      </c>
      <c r="B52" s="142" t="s">
        <v>697</v>
      </c>
      <c r="C52" s="208" t="str">
        <f>VLOOKUP(A52,'2-Inventário de Necessidades'!$A$2:$C$63,3)</f>
        <v>Acompanhamento e transparência na execução das ações constantes no PDTI</v>
      </c>
      <c r="D52" s="155">
        <f>VLOOKUP(A52,'2-Inventário de Necessidades'!$A$2:$R$63,18)</f>
        <v>1</v>
      </c>
    </row>
    <row r="53" spans="1:4" ht="15.75" thickBot="1" x14ac:dyDescent="0.3">
      <c r="A53" s="158" t="s">
        <v>68</v>
      </c>
      <c r="B53" s="142" t="s">
        <v>718</v>
      </c>
      <c r="C53" s="208" t="str">
        <f>VLOOKUP(A53,'2-Inventário de Necessidades'!$A$2:$C$63,3)</f>
        <v>Acompanhamento e transparência na execução das ações constantes no PDTI</v>
      </c>
      <c r="D53" s="155">
        <f>VLOOKUP(A53,'2-Inventário de Necessidades'!$A$2:$R$63,18)</f>
        <v>1</v>
      </c>
    </row>
    <row r="54" spans="1:4" ht="15.75" thickBot="1" x14ac:dyDescent="0.3">
      <c r="A54" s="158" t="s">
        <v>68</v>
      </c>
      <c r="B54" s="142" t="s">
        <v>720</v>
      </c>
      <c r="C54" s="208" t="str">
        <f>VLOOKUP(A54,'2-Inventário de Necessidades'!$A$2:$C$63,3)</f>
        <v>Acompanhamento e transparência na execução das ações constantes no PDTI</v>
      </c>
      <c r="D54" s="155">
        <f>VLOOKUP(A54,'2-Inventário de Necessidades'!$A$2:$R$63,18)</f>
        <v>1</v>
      </c>
    </row>
    <row r="55" spans="1:4" ht="15.75" thickBot="1" x14ac:dyDescent="0.3">
      <c r="A55" s="158" t="s">
        <v>5</v>
      </c>
      <c r="B55" s="142" t="s">
        <v>714</v>
      </c>
      <c r="C55" s="208" t="str">
        <f>VLOOKUP(A55,'2-Inventário de Necessidades'!$A$2:$C$63,3)</f>
        <v>Modernização do parque tecnológico</v>
      </c>
      <c r="D55" s="155">
        <f>VLOOKUP(A55,'2-Inventário de Necessidades'!$A$2:$R$63,18)</f>
        <v>0.75</v>
      </c>
    </row>
    <row r="56" spans="1:4" ht="15.75" thickBot="1" x14ac:dyDescent="0.3">
      <c r="A56" s="158" t="s">
        <v>5</v>
      </c>
      <c r="B56" s="142" t="s">
        <v>247</v>
      </c>
      <c r="C56" s="208" t="str">
        <f>VLOOKUP(A56,'2-Inventário de Necessidades'!$A$2:$C$63,3)</f>
        <v>Modernização do parque tecnológico</v>
      </c>
      <c r="D56" s="155">
        <f>VLOOKUP(A56,'2-Inventário de Necessidades'!$A$2:$R$63,18)</f>
        <v>0.75</v>
      </c>
    </row>
    <row r="57" spans="1:4" ht="15.75" thickBot="1" x14ac:dyDescent="0.3">
      <c r="A57" s="158" t="s">
        <v>5</v>
      </c>
      <c r="B57" s="142" t="s">
        <v>697</v>
      </c>
      <c r="C57" s="208" t="str">
        <f>VLOOKUP(A57,'2-Inventário de Necessidades'!$A$2:$C$63,3)</f>
        <v>Modernização do parque tecnológico</v>
      </c>
      <c r="D57" s="155">
        <f>VLOOKUP(A57,'2-Inventário de Necessidades'!$A$2:$R$63,18)</f>
        <v>0.75</v>
      </c>
    </row>
    <row r="58" spans="1:4" ht="15.75" thickBot="1" x14ac:dyDescent="0.3">
      <c r="A58" s="158" t="s">
        <v>5</v>
      </c>
      <c r="B58" s="142" t="s">
        <v>719</v>
      </c>
      <c r="C58" s="208" t="str">
        <f>VLOOKUP(A58,'2-Inventário de Necessidades'!$A$2:$C$63,3)</f>
        <v>Modernização do parque tecnológico</v>
      </c>
      <c r="D58" s="155">
        <f>VLOOKUP(A58,'2-Inventário de Necessidades'!$A$2:$R$63,18)</f>
        <v>0.75</v>
      </c>
    </row>
    <row r="59" spans="1:4" ht="15.75" thickBot="1" x14ac:dyDescent="0.3">
      <c r="A59" s="158" t="s">
        <v>5</v>
      </c>
      <c r="B59" s="142" t="s">
        <v>721</v>
      </c>
      <c r="C59" s="208" t="str">
        <f>VLOOKUP(A59,'2-Inventário de Necessidades'!$A$2:$C$63,3)</f>
        <v>Modernização do parque tecnológico</v>
      </c>
      <c r="D59" s="155">
        <f>VLOOKUP(A59,'2-Inventário de Necessidades'!$A$2:$R$63,18)</f>
        <v>0.75</v>
      </c>
    </row>
    <row r="60" spans="1:4" ht="15.75" thickBot="1" x14ac:dyDescent="0.3">
      <c r="A60" s="158" t="s">
        <v>80</v>
      </c>
      <c r="B60" s="142" t="s">
        <v>239</v>
      </c>
      <c r="C60" s="208" t="str">
        <f>VLOOKUP(A60,'2-Inventário de Necessidades'!$A$2:$C$63,3)</f>
        <v>Capacitação no uso de ferramentas de TI e de sistemas corporativos de TI do TCE para os servidores em geral</v>
      </c>
      <c r="D60" s="155">
        <f>VLOOKUP(A60,'2-Inventário de Necessidades'!$A$2:$R$63,18)</f>
        <v>0</v>
      </c>
    </row>
    <row r="61" spans="1:4" ht="15.75" thickBot="1" x14ac:dyDescent="0.3">
      <c r="A61" s="158" t="s">
        <v>83</v>
      </c>
      <c r="B61" s="142" t="s">
        <v>700</v>
      </c>
      <c r="C61" s="208" t="str">
        <f>VLOOKUP(A61,'2-Inventário de Necessidades'!$A$2:$C$63,3)</f>
        <v>Implantação da Gestão de Segurança da Informação</v>
      </c>
      <c r="D61" s="155">
        <f>VLOOKUP(A61,'2-Inventário de Necessidades'!$A$2:$R$63,18)</f>
        <v>0.2857142857142857</v>
      </c>
    </row>
    <row r="62" spans="1:4" ht="15.75" thickBot="1" x14ac:dyDescent="0.3">
      <c r="A62" s="158" t="s">
        <v>83</v>
      </c>
      <c r="B62" s="142" t="s">
        <v>247</v>
      </c>
      <c r="C62" s="208" t="str">
        <f>VLOOKUP(A62,'2-Inventário de Necessidades'!$A$2:$C$63,3)</f>
        <v>Implantação da Gestão de Segurança da Informação</v>
      </c>
      <c r="D62" s="155">
        <f>VLOOKUP(A62,'2-Inventário de Necessidades'!$A$2:$R$63,18)</f>
        <v>0.2857142857142857</v>
      </c>
    </row>
    <row r="63" spans="1:4" ht="15.75" thickBot="1" x14ac:dyDescent="0.3">
      <c r="A63" s="158" t="s">
        <v>83</v>
      </c>
      <c r="B63" s="142" t="s">
        <v>697</v>
      </c>
      <c r="C63" s="208" t="str">
        <f>VLOOKUP(A63,'2-Inventário de Necessidades'!$A$2:$C$63,3)</f>
        <v>Implantação da Gestão de Segurança da Informação</v>
      </c>
      <c r="D63" s="155">
        <f>VLOOKUP(A63,'2-Inventário de Necessidades'!$A$2:$R$63,18)</f>
        <v>0.2857142857142857</v>
      </c>
    </row>
    <row r="64" spans="1:4" ht="15.75" thickBot="1" x14ac:dyDescent="0.3">
      <c r="A64" s="158" t="s">
        <v>83</v>
      </c>
      <c r="B64" s="142" t="s">
        <v>719</v>
      </c>
      <c r="C64" s="208" t="str">
        <f>VLOOKUP(A64,'2-Inventário de Necessidades'!$A$2:$C$63,3)</f>
        <v>Implantação da Gestão de Segurança da Informação</v>
      </c>
      <c r="D64" s="155">
        <f>VLOOKUP(A64,'2-Inventário de Necessidades'!$A$2:$R$63,18)</f>
        <v>0.2857142857142857</v>
      </c>
    </row>
    <row r="65" spans="1:4" ht="15.75" thickBot="1" x14ac:dyDescent="0.3">
      <c r="A65" s="158" t="s">
        <v>83</v>
      </c>
      <c r="B65" s="142" t="s">
        <v>721</v>
      </c>
      <c r="C65" s="208" t="str">
        <f>VLOOKUP(A65,'2-Inventário de Necessidades'!$A$2:$C$63,3)</f>
        <v>Implantação da Gestão de Segurança da Informação</v>
      </c>
      <c r="D65" s="155">
        <f>VLOOKUP(A65,'2-Inventário de Necessidades'!$A$2:$R$63,18)</f>
        <v>0.2857142857142857</v>
      </c>
    </row>
    <row r="66" spans="1:4" ht="15.75" thickBot="1" x14ac:dyDescent="0.3">
      <c r="A66" s="158" t="s">
        <v>83</v>
      </c>
      <c r="B66" s="142" t="s">
        <v>1098</v>
      </c>
      <c r="C66" s="208" t="str">
        <f>VLOOKUP(A66,'2-Inventário de Necessidades'!$A$2:$C$63,3)</f>
        <v>Implantação da Gestão de Segurança da Informação</v>
      </c>
      <c r="D66" s="155">
        <f>VLOOKUP(A66,'2-Inventário de Necessidades'!$A$2:$R$63,18)</f>
        <v>0.2857142857142857</v>
      </c>
    </row>
    <row r="67" spans="1:4" ht="15.75" thickBot="1" x14ac:dyDescent="0.3">
      <c r="A67" s="158" t="s">
        <v>7</v>
      </c>
      <c r="B67" s="142" t="s">
        <v>239</v>
      </c>
      <c r="C67" s="208" t="str">
        <f>VLOOKUP(A67,'2-Inventário de Necessidades'!$A$2:$C$63,3)</f>
        <v>Capacitação dos servidores de TI</v>
      </c>
      <c r="D67" s="155">
        <f>VLOOKUP(A67,'2-Inventário de Necessidades'!$A$2:$R$63,18)</f>
        <v>0</v>
      </c>
    </row>
    <row r="68" spans="1:4" ht="15.75" thickBot="1" x14ac:dyDescent="0.3">
      <c r="A68" s="158" t="s">
        <v>92</v>
      </c>
      <c r="B68" s="142" t="s">
        <v>700</v>
      </c>
      <c r="C68" s="208" t="str">
        <f>VLOOKUP(A68,'2-Inventário de Necessidades'!$A$2:$C$63,3)</f>
        <v>Implantação do novo sistema para atender ao artigo 30 da CE.</v>
      </c>
      <c r="D68" s="155">
        <f>VLOOKUP(A68,'2-Inventário de Necessidades'!$A$2:$R$63,18)</f>
        <v>1</v>
      </c>
    </row>
    <row r="69" spans="1:4" ht="15.75" thickBot="1" x14ac:dyDescent="0.3">
      <c r="A69" s="158" t="s">
        <v>92</v>
      </c>
      <c r="B69" s="142" t="s">
        <v>247</v>
      </c>
      <c r="C69" s="208" t="str">
        <f>VLOOKUP(A69,'2-Inventário de Necessidades'!$A$2:$C$63,3)</f>
        <v>Implantação do novo sistema para atender ao artigo 30 da CE.</v>
      </c>
      <c r="D69" s="155">
        <f>VLOOKUP(A69,'2-Inventário de Necessidades'!$A$2:$R$63,18)</f>
        <v>1</v>
      </c>
    </row>
    <row r="70" spans="1:4" ht="15.75" thickBot="1" x14ac:dyDescent="0.3">
      <c r="A70" s="158" t="s">
        <v>94</v>
      </c>
      <c r="B70" s="142" t="s">
        <v>704</v>
      </c>
      <c r="C70" s="208" t="str">
        <f>VLOOKUP(A70,'2-Inventário de Necessidades'!$A$2:$C$63,3)</f>
        <v>Viabilizar solução de monitoramento de tramitação de autos processuais e produção de documentos</v>
      </c>
      <c r="D70" s="155">
        <f>VLOOKUP(A70,'2-Inventário de Necessidades'!$A$2:$R$63,18)</f>
        <v>1</v>
      </c>
    </row>
    <row r="71" spans="1:4" ht="15.75" thickBot="1" x14ac:dyDescent="0.3">
      <c r="A71" s="158" t="s">
        <v>94</v>
      </c>
      <c r="B71" s="142" t="s">
        <v>247</v>
      </c>
      <c r="C71" s="208" t="str">
        <f>VLOOKUP(A71,'2-Inventário de Necessidades'!$A$2:$C$63,3)</f>
        <v>Viabilizar solução de monitoramento de tramitação de autos processuais e produção de documentos</v>
      </c>
      <c r="D71" s="155">
        <f>VLOOKUP(A71,'2-Inventário de Necessidades'!$A$2:$R$63,18)</f>
        <v>1</v>
      </c>
    </row>
    <row r="72" spans="1:4" ht="15.75" thickBot="1" x14ac:dyDescent="0.3">
      <c r="A72" s="158" t="s">
        <v>94</v>
      </c>
      <c r="B72" s="142" t="s">
        <v>247</v>
      </c>
      <c r="C72" s="208" t="str">
        <f>VLOOKUP(A72,'2-Inventário de Necessidades'!$A$2:$C$63,3)</f>
        <v>Viabilizar solução de monitoramento de tramitação de autos processuais e produção de documentos</v>
      </c>
      <c r="D72" s="155">
        <f>VLOOKUP(A72,'2-Inventário de Necessidades'!$A$2:$R$63,18)</f>
        <v>1</v>
      </c>
    </row>
    <row r="73" spans="1:4" ht="15.75" thickBot="1" x14ac:dyDescent="0.3">
      <c r="A73" s="158" t="s">
        <v>94</v>
      </c>
      <c r="B73" s="142" t="s">
        <v>723</v>
      </c>
      <c r="C73" s="208" t="str">
        <f>VLOOKUP(A73,'2-Inventário de Necessidades'!$A$2:$C$63,3)</f>
        <v>Viabilizar solução de monitoramento de tramitação de autos processuais e produção de documentos</v>
      </c>
      <c r="D73" s="155">
        <f>VLOOKUP(A73,'2-Inventário de Necessidades'!$A$2:$R$63,18)</f>
        <v>1</v>
      </c>
    </row>
    <row r="74" spans="1:4" ht="15.75" thickBot="1" x14ac:dyDescent="0.3">
      <c r="A74" s="158" t="s">
        <v>97</v>
      </c>
      <c r="B74" s="142" t="s">
        <v>247</v>
      </c>
      <c r="C74" s="208" t="str">
        <f>VLOOKUP(A74,'2-Inventário de Necessidades'!$A$2:$C$63,3)</f>
        <v>Adequação dos sistemas do TCE-GO para viabilizar que os Conselheiros substitutos relatem processos</v>
      </c>
      <c r="D74" s="155">
        <f>VLOOKUP(A74,'2-Inventário de Necessidades'!$A$2:$R$63,18)</f>
        <v>1</v>
      </c>
    </row>
    <row r="75" spans="1:4" ht="15.75" thickBot="1" x14ac:dyDescent="0.3">
      <c r="A75" s="158" t="s">
        <v>98</v>
      </c>
      <c r="B75" s="142" t="s">
        <v>708</v>
      </c>
      <c r="C75" s="208" t="str">
        <f>VLOOKUP(A75,'2-Inventário de Necessidades'!$A$2:$C$63,3)</f>
        <v>Sustentação da infraestrutura de TI da nova sede</v>
      </c>
      <c r="D75" s="155">
        <f>VLOOKUP(A75,'2-Inventário de Necessidades'!$A$2:$R$63,18)</f>
        <v>1</v>
      </c>
    </row>
    <row r="76" spans="1:4" ht="15.75" thickBot="1" x14ac:dyDescent="0.3">
      <c r="A76" s="158" t="s">
        <v>98</v>
      </c>
      <c r="B76" s="142" t="s">
        <v>709</v>
      </c>
      <c r="C76" s="208" t="str">
        <f>VLOOKUP(A76,'2-Inventário de Necessidades'!$A$2:$C$63,3)</f>
        <v>Sustentação da infraestrutura de TI da nova sede</v>
      </c>
      <c r="D76" s="155">
        <f>VLOOKUP(A76,'2-Inventário de Necessidades'!$A$2:$R$63,18)</f>
        <v>1</v>
      </c>
    </row>
    <row r="77" spans="1:4" ht="15.75" thickBot="1" x14ac:dyDescent="0.3">
      <c r="A77" s="158" t="s">
        <v>101</v>
      </c>
      <c r="B77" s="142" t="s">
        <v>247</v>
      </c>
      <c r="C77" s="208" t="str">
        <f>VLOOKUP(A77,'2-Inventário de Necessidades'!$A$2:$C$63,3)</f>
        <v>Desenvolvimento de solução de gestão educacional corporativa</v>
      </c>
      <c r="D77" s="155">
        <f>VLOOKUP(A77,'2-Inventário de Necessidades'!$A$2:$R$63,18)</f>
        <v>0</v>
      </c>
    </row>
    <row r="78" spans="1:4" ht="15.75" thickBot="1" x14ac:dyDescent="0.3">
      <c r="A78" s="158" t="s">
        <v>104</v>
      </c>
      <c r="B78" s="142" t="s">
        <v>700</v>
      </c>
      <c r="C78" s="208" t="str">
        <f>VLOOKUP(A78,'2-Inventário de Necessidades'!$A$2:$C$63,3)</f>
        <v>Viabilizar a análise de dados e o cruzamento de informações.</v>
      </c>
      <c r="D78" s="155">
        <f>VLOOKUP(A78,'2-Inventário de Necessidades'!$A$2:$R$63,18)</f>
        <v>0.33333333333333331</v>
      </c>
    </row>
    <row r="79" spans="1:4" ht="15.75" thickBot="1" x14ac:dyDescent="0.3">
      <c r="A79" s="158" t="s">
        <v>104</v>
      </c>
      <c r="B79" s="142" t="s">
        <v>710</v>
      </c>
      <c r="C79" s="208" t="str">
        <f>VLOOKUP(A79,'2-Inventário de Necessidades'!$A$2:$C$63,3)</f>
        <v>Viabilizar a análise de dados e o cruzamento de informações.</v>
      </c>
      <c r="D79" s="155">
        <f>VLOOKUP(A79,'2-Inventário de Necessidades'!$A$2:$R$63,18)</f>
        <v>0.33333333333333331</v>
      </c>
    </row>
    <row r="80" spans="1:4" ht="15.75" thickBot="1" x14ac:dyDescent="0.3">
      <c r="A80" s="158" t="s">
        <v>104</v>
      </c>
      <c r="B80" s="142" t="s">
        <v>711</v>
      </c>
      <c r="C80" s="208" t="str">
        <f>VLOOKUP(A80,'2-Inventário de Necessidades'!$A$2:$C$63,3)</f>
        <v>Viabilizar a análise de dados e o cruzamento de informações.</v>
      </c>
      <c r="D80" s="155">
        <f>VLOOKUP(A80,'2-Inventário de Necessidades'!$A$2:$R$63,18)</f>
        <v>0.33333333333333331</v>
      </c>
    </row>
    <row r="81" spans="1:4" ht="15.75" thickBot="1" x14ac:dyDescent="0.3">
      <c r="A81" s="158" t="s">
        <v>104</v>
      </c>
      <c r="B81" s="142" t="s">
        <v>712</v>
      </c>
      <c r="C81" s="208" t="str">
        <f>VLOOKUP(A81,'2-Inventário de Necessidades'!$A$2:$C$63,3)</f>
        <v>Viabilizar a análise de dados e o cruzamento de informações.</v>
      </c>
      <c r="D81" s="155">
        <f>VLOOKUP(A81,'2-Inventário de Necessidades'!$A$2:$R$63,18)</f>
        <v>0.33333333333333331</v>
      </c>
    </row>
    <row r="82" spans="1:4" ht="15.75" thickBot="1" x14ac:dyDescent="0.3">
      <c r="A82" s="158" t="s">
        <v>104</v>
      </c>
      <c r="B82" s="142" t="s">
        <v>713</v>
      </c>
      <c r="C82" s="208" t="str">
        <f>VLOOKUP(A82,'2-Inventário de Necessidades'!$A$2:$C$63,3)</f>
        <v>Viabilizar a análise de dados e o cruzamento de informações.</v>
      </c>
      <c r="D82" s="155">
        <f>VLOOKUP(A82,'2-Inventário de Necessidades'!$A$2:$R$63,18)</f>
        <v>0.33333333333333331</v>
      </c>
    </row>
    <row r="83" spans="1:4" ht="15.75" thickBot="1" x14ac:dyDescent="0.3">
      <c r="A83" s="158" t="s">
        <v>104</v>
      </c>
      <c r="B83" s="142" t="s">
        <v>715</v>
      </c>
      <c r="C83" s="208" t="str">
        <f>VLOOKUP(A83,'2-Inventário de Necessidades'!$A$2:$C$63,3)</f>
        <v>Viabilizar a análise de dados e o cruzamento de informações.</v>
      </c>
      <c r="D83" s="155">
        <f>VLOOKUP(A83,'2-Inventário de Necessidades'!$A$2:$R$63,18)</f>
        <v>0.33333333333333331</v>
      </c>
    </row>
    <row r="84" spans="1:4" ht="15.75" thickBot="1" x14ac:dyDescent="0.3">
      <c r="A84" s="158" t="s">
        <v>104</v>
      </c>
      <c r="B84" s="142" t="s">
        <v>247</v>
      </c>
      <c r="C84" s="208" t="str">
        <f>VLOOKUP(A84,'2-Inventário de Necessidades'!$A$2:$C$63,3)</f>
        <v>Viabilizar a análise de dados e o cruzamento de informações.</v>
      </c>
      <c r="D84" s="155">
        <f>VLOOKUP(A84,'2-Inventário de Necessidades'!$A$2:$R$63,18)</f>
        <v>0.33333333333333331</v>
      </c>
    </row>
    <row r="85" spans="1:4" ht="15.75" thickBot="1" x14ac:dyDescent="0.3">
      <c r="A85" s="158" t="s">
        <v>105</v>
      </c>
      <c r="B85" s="142" t="s">
        <v>706</v>
      </c>
      <c r="C85" s="208" t="str">
        <f>VLOOKUP(A85,'2-Inventário de Necessidades'!$A$2:$C$63,3)</f>
        <v>Viabilização da inserção do TCE-GO em Redes Sociais</v>
      </c>
      <c r="D85" s="155">
        <f>VLOOKUP(A85,'2-Inventário de Necessidades'!$A$2:$R$63,18)</f>
        <v>1</v>
      </c>
    </row>
    <row r="86" spans="1:4" ht="15.75" thickBot="1" x14ac:dyDescent="0.3">
      <c r="A86" s="158" t="s">
        <v>105</v>
      </c>
      <c r="B86" s="142" t="s">
        <v>247</v>
      </c>
      <c r="C86" s="208" t="str">
        <f>VLOOKUP(A86,'2-Inventário de Necessidades'!$A$2:$C$63,3)</f>
        <v>Viabilização da inserção do TCE-GO em Redes Sociais</v>
      </c>
      <c r="D86" s="155">
        <f>VLOOKUP(A86,'2-Inventário de Necessidades'!$A$2:$R$63,18)</f>
        <v>1</v>
      </c>
    </row>
    <row r="87" spans="1:4" ht="15.75" thickBot="1" x14ac:dyDescent="0.3">
      <c r="A87" s="158" t="s">
        <v>108</v>
      </c>
      <c r="B87" s="142" t="s">
        <v>254</v>
      </c>
      <c r="C87" s="208" t="str">
        <f>VLOOKUP(A87,'2-Inventário de Necessidades'!$A$2:$C$63,3)</f>
        <v>Viabilização de divulgação na internet de ações e atividades de controle externo</v>
      </c>
      <c r="D87" s="155">
        <f>VLOOKUP(A87,'2-Inventário de Necessidades'!$A$2:$R$63,18)</f>
        <v>0</v>
      </c>
    </row>
    <row r="88" spans="1:4" ht="15.75" thickBot="1" x14ac:dyDescent="0.3">
      <c r="A88" s="158" t="s">
        <v>111</v>
      </c>
      <c r="B88" s="142" t="s">
        <v>247</v>
      </c>
      <c r="C88" s="208" t="str">
        <f>VLOOKUP(A88,'2-Inventário de Necessidades'!$A$2:$C$63,3)</f>
        <v>Modernização dos sistemas corporativos com foco em acessibilidade</v>
      </c>
      <c r="D88" s="155">
        <f>VLOOKUP(A88,'2-Inventário de Necessidades'!$A$2:$R$63,18)</f>
        <v>0</v>
      </c>
    </row>
    <row r="89" spans="1:4" ht="15.75" thickBot="1" x14ac:dyDescent="0.3">
      <c r="A89" s="158" t="s">
        <v>114</v>
      </c>
      <c r="B89" s="142" t="s">
        <v>700</v>
      </c>
      <c r="C89" s="208" t="str">
        <f>VLOOKUP(A89,'2-Inventário de Necessidades'!$A$2:$C$63,3)</f>
        <v>Conclusão da regulamentação e implantação do sistema de auditoria de folha de pagamento - GAFP</v>
      </c>
      <c r="D89" s="155">
        <f>VLOOKUP(A89,'2-Inventário de Necessidades'!$A$2:$R$63,18)</f>
        <v>0</v>
      </c>
    </row>
    <row r="90" spans="1:4" ht="15.75" thickBot="1" x14ac:dyDescent="0.3">
      <c r="A90" s="158" t="s">
        <v>114</v>
      </c>
      <c r="B90" s="142" t="s">
        <v>701</v>
      </c>
      <c r="C90" s="208" t="str">
        <f>VLOOKUP(A90,'2-Inventário de Necessidades'!$A$2:$C$63,3)</f>
        <v>Conclusão da regulamentação e implantação do sistema de auditoria de folha de pagamento - GAFP</v>
      </c>
      <c r="D90" s="155">
        <f>VLOOKUP(A90,'2-Inventário de Necessidades'!$A$2:$R$63,18)</f>
        <v>0</v>
      </c>
    </row>
    <row r="91" spans="1:4" ht="15.75" thickBot="1" x14ac:dyDescent="0.3">
      <c r="A91" s="158" t="s">
        <v>114</v>
      </c>
      <c r="B91" s="142" t="s">
        <v>247</v>
      </c>
      <c r="C91" s="208" t="str">
        <f>VLOOKUP(A91,'2-Inventário de Necessidades'!$A$2:$C$63,3)</f>
        <v>Conclusão da regulamentação e implantação do sistema de auditoria de folha de pagamento - GAFP</v>
      </c>
      <c r="D91" s="155">
        <f>VLOOKUP(A91,'2-Inventário de Necessidades'!$A$2:$R$63,18)</f>
        <v>0</v>
      </c>
    </row>
    <row r="92" spans="1:4" ht="15.75" thickBot="1" x14ac:dyDescent="0.3">
      <c r="A92" s="158" t="s">
        <v>117</v>
      </c>
      <c r="B92" s="142" t="s">
        <v>706</v>
      </c>
      <c r="C92" s="208" t="str">
        <f>VLOOKUP(A92,'2-Inventário de Necessidades'!$A$2:$C$63,3)</f>
        <v>Aprimoramento dos serviços do portal institucional do TCE-GO</v>
      </c>
      <c r="D92" s="155">
        <f>VLOOKUP(A92,'2-Inventário de Necessidades'!$A$2:$R$63,18)</f>
        <v>0.42857142857142855</v>
      </c>
    </row>
    <row r="93" spans="1:4" ht="15.75" thickBot="1" x14ac:dyDescent="0.3">
      <c r="A93" s="158" t="s">
        <v>117</v>
      </c>
      <c r="B93" s="142" t="s">
        <v>247</v>
      </c>
      <c r="C93" s="208" t="str">
        <f>VLOOKUP(A93,'2-Inventário de Necessidades'!$A$2:$C$63,3)</f>
        <v>Aprimoramento dos serviços do portal institucional do TCE-GO</v>
      </c>
      <c r="D93" s="155">
        <f>VLOOKUP(A93,'2-Inventário de Necessidades'!$A$2:$R$63,18)</f>
        <v>0.42857142857142855</v>
      </c>
    </row>
    <row r="94" spans="1:4" ht="15.75" thickBot="1" x14ac:dyDescent="0.3">
      <c r="A94" s="158" t="s">
        <v>117</v>
      </c>
      <c r="B94" s="142" t="s">
        <v>1098</v>
      </c>
      <c r="C94" s="208" t="str">
        <f>VLOOKUP(A94,'2-Inventário de Necessidades'!$A$2:$C$63,3)</f>
        <v>Aprimoramento dos serviços do portal institucional do TCE-GO</v>
      </c>
      <c r="D94" s="155">
        <f>VLOOKUP(A94,'2-Inventário de Necessidades'!$A$2:$R$63,18)</f>
        <v>0.42857142857142855</v>
      </c>
    </row>
    <row r="95" spans="1:4" ht="15.75" thickBot="1" x14ac:dyDescent="0.3">
      <c r="A95" s="158" t="s">
        <v>120</v>
      </c>
      <c r="B95" s="142" t="s">
        <v>706</v>
      </c>
      <c r="C95" s="208" t="str">
        <f>VLOOKUP(A95,'2-Inventário de Necessidades'!$A$2:$C$63,3)</f>
        <v>Prover canal de comunicação para que os servidores e cidadãos informem suspeitas de irregularidades</v>
      </c>
      <c r="D95" s="155">
        <f>VLOOKUP(A95,'2-Inventário de Necessidades'!$A$2:$R$63,18)</f>
        <v>1</v>
      </c>
    </row>
    <row r="96" spans="1:4" ht="15.75" thickBot="1" x14ac:dyDescent="0.3">
      <c r="A96" s="158" t="s">
        <v>120</v>
      </c>
      <c r="B96" s="142" t="s">
        <v>247</v>
      </c>
      <c r="C96" s="208" t="str">
        <f>VLOOKUP(A96,'2-Inventário de Necessidades'!$A$2:$C$63,3)</f>
        <v>Prover canal de comunicação para que os servidores e cidadãos informem suspeitas de irregularidades</v>
      </c>
      <c r="D96" s="155">
        <f>VLOOKUP(A96,'2-Inventário de Necessidades'!$A$2:$R$63,18)</f>
        <v>1</v>
      </c>
    </row>
    <row r="97" spans="1:4" ht="15.75" thickBot="1" x14ac:dyDescent="0.3">
      <c r="A97" s="158" t="s">
        <v>121</v>
      </c>
      <c r="B97" s="142" t="s">
        <v>700</v>
      </c>
      <c r="C97" s="208" t="str">
        <f>VLOOKUP(A97,'2-Inventário de Necessidades'!$A$2:$C$63,3)</f>
        <v>Desenvolvimento de solução para fiscalização de contratação de pessoal temporários</v>
      </c>
      <c r="D97" s="155">
        <f>VLOOKUP(A97,'2-Inventário de Necessidades'!$A$2:$R$63,18)</f>
        <v>0</v>
      </c>
    </row>
    <row r="98" spans="1:4" ht="15.75" thickBot="1" x14ac:dyDescent="0.3">
      <c r="A98" s="158" t="s">
        <v>121</v>
      </c>
      <c r="B98" s="142" t="s">
        <v>711</v>
      </c>
      <c r="C98" s="208" t="str">
        <f>VLOOKUP(A98,'2-Inventário de Necessidades'!$A$2:$C$63,3)</f>
        <v>Desenvolvimento de solução para fiscalização de contratação de pessoal temporários</v>
      </c>
      <c r="D98" s="155">
        <f>VLOOKUP(A98,'2-Inventário de Necessidades'!$A$2:$R$63,18)</f>
        <v>0</v>
      </c>
    </row>
    <row r="99" spans="1:4" ht="15.75" thickBot="1" x14ac:dyDescent="0.3">
      <c r="A99" s="158" t="s">
        <v>121</v>
      </c>
      <c r="B99" s="142" t="s">
        <v>712</v>
      </c>
      <c r="C99" s="208" t="str">
        <f>VLOOKUP(A99,'2-Inventário de Necessidades'!$A$2:$C$63,3)</f>
        <v>Desenvolvimento de solução para fiscalização de contratação de pessoal temporários</v>
      </c>
      <c r="D99" s="155">
        <f>VLOOKUP(A99,'2-Inventário de Necessidades'!$A$2:$R$63,18)</f>
        <v>0</v>
      </c>
    </row>
    <row r="100" spans="1:4" ht="15.75" thickBot="1" x14ac:dyDescent="0.3">
      <c r="A100" s="158" t="s">
        <v>121</v>
      </c>
      <c r="B100" s="142" t="s">
        <v>713</v>
      </c>
      <c r="C100" s="208" t="str">
        <f>VLOOKUP(A100,'2-Inventário de Necessidades'!$A$2:$C$63,3)</f>
        <v>Desenvolvimento de solução para fiscalização de contratação de pessoal temporários</v>
      </c>
      <c r="D100" s="155">
        <f>VLOOKUP(A100,'2-Inventário de Necessidades'!$A$2:$R$63,18)</f>
        <v>0</v>
      </c>
    </row>
    <row r="101" spans="1:4" ht="15.75" thickBot="1" x14ac:dyDescent="0.3">
      <c r="A101" s="158" t="s">
        <v>121</v>
      </c>
      <c r="B101" s="142" t="s">
        <v>247</v>
      </c>
      <c r="C101" s="208" t="str">
        <f>VLOOKUP(A101,'2-Inventário de Necessidades'!$A$2:$C$63,3)</f>
        <v>Desenvolvimento de solução para fiscalização de contratação de pessoal temporários</v>
      </c>
      <c r="D101" s="155">
        <f>VLOOKUP(A101,'2-Inventário de Necessidades'!$A$2:$R$63,18)</f>
        <v>0</v>
      </c>
    </row>
    <row r="102" spans="1:4" ht="15.75" thickBot="1" x14ac:dyDescent="0.3">
      <c r="A102" s="158" t="s">
        <v>124</v>
      </c>
      <c r="B102" s="142" t="s">
        <v>234</v>
      </c>
      <c r="C102" s="208" t="str">
        <f>VLOOKUP(A102,'2-Inventário de Necessidades'!$A$2:$C$63,3)</f>
        <v>Viabilizar solução de gestão documental e arquivística</v>
      </c>
      <c r="D102" s="155">
        <f>VLOOKUP(A102,'2-Inventário de Necessidades'!$A$2:$R$63,18)</f>
        <v>0</v>
      </c>
    </row>
    <row r="103" spans="1:4" ht="15.75" thickBot="1" x14ac:dyDescent="0.3">
      <c r="A103" s="158" t="s">
        <v>127</v>
      </c>
      <c r="B103" s="142" t="s">
        <v>710</v>
      </c>
      <c r="C103" s="208" t="str">
        <f>VLOOKUP(A103,'2-Inventário de Necessidades'!$A$2:$C$63,3)</f>
        <v>Elaboração de instrumento de planejamento de TI 2018-2019</v>
      </c>
      <c r="D103" s="155">
        <f>VLOOKUP(A103,'2-Inventário de Necessidades'!$A$2:$R$63,18)</f>
        <v>0</v>
      </c>
    </row>
    <row r="104" spans="1:4" ht="15.75" thickBot="1" x14ac:dyDescent="0.3">
      <c r="A104" s="158" t="s">
        <v>127</v>
      </c>
      <c r="B104" s="142" t="s">
        <v>717</v>
      </c>
      <c r="C104" s="208" t="str">
        <f>VLOOKUP(A104,'2-Inventário de Necessidades'!$A$2:$C$63,3)</f>
        <v>Elaboração de instrumento de planejamento de TI 2018-2019</v>
      </c>
      <c r="D104" s="155">
        <f>VLOOKUP(A104,'2-Inventário de Necessidades'!$A$2:$R$63,18)</f>
        <v>0</v>
      </c>
    </row>
    <row r="105" spans="1:4" ht="15.75" thickBot="1" x14ac:dyDescent="0.3">
      <c r="A105" s="158" t="s">
        <v>127</v>
      </c>
      <c r="B105" s="142" t="s">
        <v>697</v>
      </c>
      <c r="C105" s="208" t="str">
        <f>VLOOKUP(A105,'2-Inventário de Necessidades'!$A$2:$C$63,3)</f>
        <v>Elaboração de instrumento de planejamento de TI 2018-2019</v>
      </c>
      <c r="D105" s="155">
        <f>VLOOKUP(A105,'2-Inventário de Necessidades'!$A$2:$R$63,18)</f>
        <v>0</v>
      </c>
    </row>
    <row r="106" spans="1:4" ht="15.75" thickBot="1" x14ac:dyDescent="0.3">
      <c r="A106" s="158" t="s">
        <v>130</v>
      </c>
      <c r="B106" s="142" t="s">
        <v>707</v>
      </c>
      <c r="C106" s="208" t="str">
        <f>VLOOKUP(A106,'2-Inventário de Necessidades'!$A$2:$C$63,3)</f>
        <v>Modernização do Portal de Gestão de Pessoas</v>
      </c>
      <c r="D106" s="155">
        <f>VLOOKUP(A106,'2-Inventário de Necessidades'!$A$2:$R$63,18)</f>
        <v>1</v>
      </c>
    </row>
    <row r="107" spans="1:4" ht="15.75" thickBot="1" x14ac:dyDescent="0.3">
      <c r="A107" s="158" t="s">
        <v>130</v>
      </c>
      <c r="B107" s="142" t="s">
        <v>247</v>
      </c>
      <c r="C107" s="208" t="str">
        <f>VLOOKUP(A107,'2-Inventário de Necessidades'!$A$2:$C$63,3)</f>
        <v>Modernização do Portal de Gestão de Pessoas</v>
      </c>
      <c r="D107" s="155">
        <f>VLOOKUP(A107,'2-Inventário de Necessidades'!$A$2:$R$63,18)</f>
        <v>1</v>
      </c>
    </row>
    <row r="108" spans="1:4" ht="15.75" thickBot="1" x14ac:dyDescent="0.3">
      <c r="A108" s="158" t="s">
        <v>132</v>
      </c>
      <c r="B108" s="142" t="s">
        <v>234</v>
      </c>
      <c r="C108" s="208" t="str">
        <f>VLOOKUP(A108,'2-Inventário de Necessidades'!$A$2:$C$63,3)</f>
        <v xml:space="preserve">Aprimorar a solução de gestão dos cadastros de pessoa física, jurídica e Estrutura Organizacional do Estado </v>
      </c>
      <c r="D108" s="155">
        <f>VLOOKUP(A108,'2-Inventário de Necessidades'!$A$2:$R$63,18)</f>
        <v>0</v>
      </c>
    </row>
    <row r="109" spans="1:4" ht="15.75" thickBot="1" x14ac:dyDescent="0.3">
      <c r="A109" s="158" t="s">
        <v>132</v>
      </c>
      <c r="B109" s="142" t="s">
        <v>247</v>
      </c>
      <c r="C109" s="208" t="str">
        <f>VLOOKUP(A109,'2-Inventário de Necessidades'!$A$2:$C$63,3)</f>
        <v xml:space="preserve">Aprimorar a solução de gestão dos cadastros de pessoa física, jurídica e Estrutura Organizacional do Estado </v>
      </c>
      <c r="D109" s="155">
        <f>VLOOKUP(A109,'2-Inventário de Necessidades'!$A$2:$R$63,18)</f>
        <v>0</v>
      </c>
    </row>
    <row r="110" spans="1:4" ht="15.75" thickBot="1" x14ac:dyDescent="0.3">
      <c r="A110" s="158" t="s">
        <v>134</v>
      </c>
      <c r="B110" s="142" t="s">
        <v>265</v>
      </c>
      <c r="C110" s="208" t="str">
        <f>VLOOKUP(A110,'2-Inventário de Necessidades'!$A$2:$C$63,3)</f>
        <v>Criação e publicação de normativo estabelecendo as competências das unidades de TI</v>
      </c>
      <c r="D110" s="155">
        <f>VLOOKUP(A110,'2-Inventário de Necessidades'!$A$2:$R$63,18)</f>
        <v>1</v>
      </c>
    </row>
    <row r="111" spans="1:4" ht="15.75" thickBot="1" x14ac:dyDescent="0.3">
      <c r="A111" s="158" t="s">
        <v>136</v>
      </c>
      <c r="B111" s="142" t="s">
        <v>719</v>
      </c>
      <c r="C111" s="208" t="str">
        <f>VLOOKUP(A111,'2-Inventário de Necessidades'!$A$2:$C$63,3)</f>
        <v>Aprimoramento do Serviço de Email Corporativo</v>
      </c>
      <c r="D111" s="155">
        <f>VLOOKUP(A111,'2-Inventário de Necessidades'!$A$2:$R$63,18)</f>
        <v>1</v>
      </c>
    </row>
    <row r="112" spans="1:4" ht="15.75" thickBot="1" x14ac:dyDescent="0.3">
      <c r="A112" s="158" t="s">
        <v>136</v>
      </c>
      <c r="B112" s="142" t="s">
        <v>721</v>
      </c>
      <c r="C112" s="208" t="str">
        <f>VLOOKUP(A112,'2-Inventário de Necessidades'!$A$2:$C$63,3)</f>
        <v>Aprimoramento do Serviço de Email Corporativo</v>
      </c>
      <c r="D112" s="155">
        <f>VLOOKUP(A112,'2-Inventário de Necessidades'!$A$2:$R$63,18)</f>
        <v>1</v>
      </c>
    </row>
    <row r="113" spans="1:4" ht="15.75" thickBot="1" x14ac:dyDescent="0.3">
      <c r="A113" s="158" t="s">
        <v>140</v>
      </c>
      <c r="B113" s="142" t="s">
        <v>700</v>
      </c>
      <c r="C113" s="208" t="str">
        <f>VLOOKUP(A113,'2-Inventário de Necessidades'!$A$2:$C$63,3)</f>
        <v>Viabilização do intercâmbio de informações de interesse com outros orgãos da Administração Pública</v>
      </c>
      <c r="D113" s="155">
        <f>VLOOKUP(A113,'2-Inventário de Necessidades'!$A$2:$R$63,18)</f>
        <v>1</v>
      </c>
    </row>
    <row r="114" spans="1:4" ht="15.75" thickBot="1" x14ac:dyDescent="0.3">
      <c r="A114" s="158" t="s">
        <v>140</v>
      </c>
      <c r="B114" s="142" t="s">
        <v>701</v>
      </c>
      <c r="C114" s="208" t="str">
        <f>VLOOKUP(A114,'2-Inventário de Necessidades'!$A$2:$C$63,3)</f>
        <v>Viabilização do intercâmbio de informações de interesse com outros orgãos da Administração Pública</v>
      </c>
      <c r="D114" s="155">
        <f>VLOOKUP(A114,'2-Inventário de Necessidades'!$A$2:$R$63,18)</f>
        <v>1</v>
      </c>
    </row>
    <row r="115" spans="1:4" ht="15.75" thickBot="1" x14ac:dyDescent="0.3">
      <c r="A115" s="158" t="s">
        <v>140</v>
      </c>
      <c r="B115" s="142" t="s">
        <v>702</v>
      </c>
      <c r="C115" s="208" t="str">
        <f>VLOOKUP(A115,'2-Inventário de Necessidades'!$A$2:$C$63,3)</f>
        <v>Viabilização do intercâmbio de informações de interesse com outros orgãos da Administração Pública</v>
      </c>
      <c r="D115" s="155">
        <f>VLOOKUP(A115,'2-Inventário de Necessidades'!$A$2:$R$63,18)</f>
        <v>1</v>
      </c>
    </row>
    <row r="116" spans="1:4" ht="15.75" thickBot="1" x14ac:dyDescent="0.3">
      <c r="A116" s="158" t="s">
        <v>140</v>
      </c>
      <c r="B116" s="142" t="s">
        <v>703</v>
      </c>
      <c r="C116" s="208" t="str">
        <f>VLOOKUP(A116,'2-Inventário de Necessidades'!$A$2:$C$63,3)</f>
        <v>Viabilização do intercâmbio de informações de interesse com outros orgãos da Administração Pública</v>
      </c>
      <c r="D116" s="155">
        <f>VLOOKUP(A116,'2-Inventário de Necessidades'!$A$2:$R$63,18)</f>
        <v>1</v>
      </c>
    </row>
    <row r="117" spans="1:4" ht="15.75" thickBot="1" x14ac:dyDescent="0.3">
      <c r="A117" s="158" t="s">
        <v>142</v>
      </c>
      <c r="B117" s="142" t="s">
        <v>234</v>
      </c>
      <c r="C117" s="208" t="str">
        <f>VLOOKUP(A117,'2-Inventário de Necessidades'!$A$2:$C$63,3)</f>
        <v>Viabilização de divulgação na internet de ações, atividades e normas internas de gestão documental</v>
      </c>
      <c r="D117" s="155">
        <f>VLOOKUP(A117,'2-Inventário de Necessidades'!$A$2:$R$63,18)</f>
        <v>0</v>
      </c>
    </row>
    <row r="118" spans="1:4" ht="15.75" thickBot="1" x14ac:dyDescent="0.3">
      <c r="A118" s="158" t="s">
        <v>145</v>
      </c>
      <c r="B118" s="142" t="s">
        <v>247</v>
      </c>
      <c r="C118" s="208" t="str">
        <f>VLOOKUP(A118,'2-Inventário de Necessidades'!$A$2:$C$63,3)</f>
        <v>Aquisição de softwares aplicativos</v>
      </c>
      <c r="D118" s="155">
        <f>VLOOKUP(A118,'2-Inventário de Necessidades'!$A$2:$R$63,18)</f>
        <v>0.63636363636363635</v>
      </c>
    </row>
    <row r="119" spans="1:4" ht="15.75" thickBot="1" x14ac:dyDescent="0.3">
      <c r="A119" s="158" t="s">
        <v>167</v>
      </c>
      <c r="B119" s="142" t="s">
        <v>247</v>
      </c>
      <c r="C119" s="208" t="str">
        <f>VLOOKUP(A119,'2-Inventário de Necessidades'!$A$2:$C$63,3)</f>
        <v>Viabilização de utilização de soluções de armazenamento em nuvem</v>
      </c>
      <c r="D119" s="155">
        <f>VLOOKUP(A119,'2-Inventário de Necessidades'!$A$2:$R$63,18)</f>
        <v>0</v>
      </c>
    </row>
    <row r="120" spans="1:4" ht="15.75" thickBot="1" x14ac:dyDescent="0.3">
      <c r="A120" s="158" t="s">
        <v>172</v>
      </c>
      <c r="B120" s="142" t="s">
        <v>711</v>
      </c>
      <c r="C120" s="208" t="str">
        <f>VLOOKUP(A120,'2-Inventário de Necessidades'!$A$2:$C$63,3)</f>
        <v>Desenvolvimento de solução para gestão de declarações de bens e rendas</v>
      </c>
      <c r="D120" s="155">
        <f>VLOOKUP(A120,'2-Inventário de Necessidades'!$A$2:$R$63,18)</f>
        <v>0</v>
      </c>
    </row>
    <row r="121" spans="1:4" ht="15.75" thickBot="1" x14ac:dyDescent="0.3">
      <c r="A121" s="158" t="s">
        <v>172</v>
      </c>
      <c r="B121" s="142" t="s">
        <v>712</v>
      </c>
      <c r="C121" s="208" t="str">
        <f>VLOOKUP(A121,'2-Inventário de Necessidades'!$A$2:$C$63,3)</f>
        <v>Desenvolvimento de solução para gestão de declarações de bens e rendas</v>
      </c>
      <c r="D121" s="155">
        <f>VLOOKUP(A121,'2-Inventário de Necessidades'!$A$2:$R$63,18)</f>
        <v>0</v>
      </c>
    </row>
    <row r="122" spans="1:4" ht="15.75" thickBot="1" x14ac:dyDescent="0.3">
      <c r="A122" s="158" t="s">
        <v>172</v>
      </c>
      <c r="B122" s="142" t="s">
        <v>713</v>
      </c>
      <c r="C122" s="208" t="str">
        <f>VLOOKUP(A122,'2-Inventário de Necessidades'!$A$2:$C$63,3)</f>
        <v>Desenvolvimento de solução para gestão de declarações de bens e rendas</v>
      </c>
      <c r="D122" s="155">
        <f>VLOOKUP(A122,'2-Inventário de Necessidades'!$A$2:$R$63,18)</f>
        <v>0</v>
      </c>
    </row>
    <row r="123" spans="1:4" ht="15.75" thickBot="1" x14ac:dyDescent="0.3">
      <c r="A123" s="158" t="s">
        <v>172</v>
      </c>
      <c r="B123" s="142" t="s">
        <v>247</v>
      </c>
      <c r="C123" s="208" t="str">
        <f>VLOOKUP(A123,'2-Inventário de Necessidades'!$A$2:$C$63,3)</f>
        <v>Desenvolvimento de solução para gestão de declarações de bens e rendas</v>
      </c>
      <c r="D123" s="155">
        <f>VLOOKUP(A123,'2-Inventário de Necessidades'!$A$2:$R$63,18)</f>
        <v>0</v>
      </c>
    </row>
    <row r="124" spans="1:4" ht="15.75" thickBot="1" x14ac:dyDescent="0.3">
      <c r="A124" s="158" t="s">
        <v>175</v>
      </c>
      <c r="B124" s="142" t="s">
        <v>697</v>
      </c>
      <c r="C124" s="208" t="str">
        <f>VLOOKUP(A124,'2-Inventário de Necessidades'!$A$2:$C$63,3)</f>
        <v>Definição de Padrões de TI (Arquitetura, Código, BD) e documentá-los (elaborar/revisar Manuais de Sistemas, Guias)</v>
      </c>
      <c r="D124" s="155">
        <f>VLOOKUP(A124,'2-Inventário de Necessidades'!$A$2:$R$63,18)</f>
        <v>0.66666666666666663</v>
      </c>
    </row>
    <row r="125" spans="1:4" ht="15.75" thickBot="1" x14ac:dyDescent="0.3">
      <c r="A125" s="158" t="s">
        <v>175</v>
      </c>
      <c r="B125" s="142" t="s">
        <v>698</v>
      </c>
      <c r="C125" s="208" t="str">
        <f>VLOOKUP(A125,'2-Inventário de Necessidades'!$A$2:$C$63,3)</f>
        <v>Definição de Padrões de TI (Arquitetura, Código, BD) e documentá-los (elaborar/revisar Manuais de Sistemas, Guias)</v>
      </c>
      <c r="D125" s="155">
        <f>VLOOKUP(A125,'2-Inventário de Necessidades'!$A$2:$R$63,18)</f>
        <v>0.66666666666666663</v>
      </c>
    </row>
    <row r="126" spans="1:4" ht="15.75" thickBot="1" x14ac:dyDescent="0.3">
      <c r="A126" s="158" t="s">
        <v>178</v>
      </c>
      <c r="B126" s="142" t="s">
        <v>247</v>
      </c>
      <c r="C126" s="208" t="str">
        <f>VLOOKUP(A126,'2-Inventário de Necessidades'!$A$2:$C$63,3)</f>
        <v>Sustentação e evolução do sistema de gestão de material e patrimônio - GMAP</v>
      </c>
      <c r="D126" s="155">
        <f>VLOOKUP(A126,'2-Inventário de Necessidades'!$A$2:$R$63,18)</f>
        <v>1</v>
      </c>
    </row>
    <row r="127" spans="1:4" ht="15.75" thickBot="1" x14ac:dyDescent="0.3">
      <c r="A127" s="158" t="s">
        <v>180</v>
      </c>
      <c r="B127" s="142" t="s">
        <v>247</v>
      </c>
      <c r="C127" s="208" t="str">
        <f>VLOOKUP(A127,'2-Inventário de Necessidades'!$A$2:$C$63,3)</f>
        <v>Desenvolver solução para solicitação de diárias</v>
      </c>
      <c r="D127" s="155">
        <f>VLOOKUP(A127,'2-Inventário de Necessidades'!$A$2:$R$63,18)</f>
        <v>0.5</v>
      </c>
    </row>
    <row r="128" spans="1:4" ht="15.75" thickBot="1" x14ac:dyDescent="0.3">
      <c r="A128" s="158" t="s">
        <v>183</v>
      </c>
      <c r="B128" s="142" t="s">
        <v>710</v>
      </c>
      <c r="C128" s="208" t="str">
        <f>VLOOKUP(A128,'2-Inventário de Necessidades'!$A$2:$C$63,3)</f>
        <v>Implantação do Gerenciamento de Serviços de TI</v>
      </c>
      <c r="D128" s="155">
        <f>VLOOKUP(A128,'2-Inventário de Necessidades'!$A$2:$R$63,18)</f>
        <v>0</v>
      </c>
    </row>
    <row r="129" spans="1:4" ht="15.75" thickBot="1" x14ac:dyDescent="0.3">
      <c r="A129" s="158" t="s">
        <v>183</v>
      </c>
      <c r="B129" s="142" t="s">
        <v>247</v>
      </c>
      <c r="C129" s="208" t="str">
        <f>VLOOKUP(A129,'2-Inventário de Necessidades'!$A$2:$C$63,3)</f>
        <v>Implantação do Gerenciamento de Serviços de TI</v>
      </c>
      <c r="D129" s="155">
        <f>VLOOKUP(A129,'2-Inventário de Necessidades'!$A$2:$R$63,18)</f>
        <v>0</v>
      </c>
    </row>
    <row r="130" spans="1:4" ht="15.75" thickBot="1" x14ac:dyDescent="0.3">
      <c r="A130" s="158" t="s">
        <v>188</v>
      </c>
      <c r="B130" s="142" t="s">
        <v>247</v>
      </c>
      <c r="C130" s="208" t="str">
        <f>VLOOKUP(A130,'2-Inventário de Necessidades'!$A$2:$C$63,3)</f>
        <v>Viabilização de solução de gerenciamento de processos organizacionais</v>
      </c>
      <c r="D130" s="155">
        <f>VLOOKUP(A130,'2-Inventário de Necessidades'!$A$2:$R$63,18)</f>
        <v>0</v>
      </c>
    </row>
    <row r="131" spans="1:4" ht="15.75" thickBot="1" x14ac:dyDescent="0.3">
      <c r="A131" s="158" t="s">
        <v>190</v>
      </c>
      <c r="B131" s="142" t="s">
        <v>247</v>
      </c>
      <c r="C131" s="208" t="str">
        <f>VLOOKUP(A131,'2-Inventário de Necessidades'!$A$2:$C$63,3)</f>
        <v>Viabilização de solução para gestão do conhecimento</v>
      </c>
      <c r="D131" s="155">
        <f>VLOOKUP(A131,'2-Inventário de Necessidades'!$A$2:$R$63,18)</f>
        <v>1</v>
      </c>
    </row>
    <row r="132" spans="1:4" ht="15.75" thickBot="1" x14ac:dyDescent="0.3">
      <c r="A132" s="158" t="s">
        <v>192</v>
      </c>
      <c r="B132" s="142" t="s">
        <v>247</v>
      </c>
      <c r="C132" s="208" t="str">
        <f>VLOOKUP(A132,'2-Inventário de Necessidades'!$A$2:$C$63,3)</f>
        <v>Desenvolvimento de solução de portal corporativo e ferramentas de colaboração e de socialização</v>
      </c>
      <c r="D132" s="155">
        <f>VLOOKUP(A132,'2-Inventário de Necessidades'!$A$2:$R$63,18)</f>
        <v>0</v>
      </c>
    </row>
    <row r="133" spans="1:4" ht="15.75" thickBot="1" x14ac:dyDescent="0.3">
      <c r="A133" s="158" t="s">
        <v>192</v>
      </c>
      <c r="B133" s="142" t="s">
        <v>716</v>
      </c>
      <c r="C133" s="208" t="str">
        <f>VLOOKUP(A133,'2-Inventário de Necessidades'!$A$2:$C$63,3)</f>
        <v>Desenvolvimento de solução de portal corporativo e ferramentas de colaboração e de socialização</v>
      </c>
      <c r="D133" s="155">
        <f>VLOOKUP(A133,'2-Inventário de Necessidades'!$A$2:$R$63,18)</f>
        <v>0</v>
      </c>
    </row>
    <row r="134" spans="1:4" ht="15.75" thickBot="1" x14ac:dyDescent="0.3">
      <c r="A134" s="158" t="s">
        <v>192</v>
      </c>
      <c r="B134" s="142" t="s">
        <v>717</v>
      </c>
      <c r="C134" s="208" t="str">
        <f>VLOOKUP(A134,'2-Inventário de Necessidades'!$A$2:$C$63,3)</f>
        <v>Desenvolvimento de solução de portal corporativo e ferramentas de colaboração e de socialização</v>
      </c>
      <c r="D134" s="155">
        <f>VLOOKUP(A134,'2-Inventário de Necessidades'!$A$2:$R$63,18)</f>
        <v>0</v>
      </c>
    </row>
    <row r="135" spans="1:4" ht="15.75" thickBot="1" x14ac:dyDescent="0.3">
      <c r="A135" s="158" t="s">
        <v>195</v>
      </c>
      <c r="B135" s="142" t="s">
        <v>247</v>
      </c>
      <c r="C135" s="208" t="str">
        <f>VLOOKUP(A135,'2-Inventário de Necessidades'!$A$2:$C$63,3)</f>
        <v>Desenvolvimento de solução de gestão da manutenção predial</v>
      </c>
      <c r="D135" s="155">
        <f>VLOOKUP(A135,'2-Inventário de Necessidades'!$A$2:$R$63,18)</f>
        <v>1</v>
      </c>
    </row>
    <row r="136" spans="1:4" ht="15.75" thickBot="1" x14ac:dyDescent="0.3">
      <c r="A136" s="158" t="s">
        <v>198</v>
      </c>
      <c r="B136" s="142" t="s">
        <v>247</v>
      </c>
      <c r="C136" s="208" t="str">
        <f>VLOOKUP(A136,'2-Inventário de Necessidades'!$A$2:$C$63,3)</f>
        <v>Viabilização de infraestrutura para produção de conteúdo de vídeo e transmissão das Sessões Plenárias</v>
      </c>
      <c r="D136" s="155">
        <f>VLOOKUP(A136,'2-Inventário de Necessidades'!$A$2:$R$63,18)</f>
        <v>1</v>
      </c>
    </row>
    <row r="137" spans="1:4" ht="15.75" thickBot="1" x14ac:dyDescent="0.3">
      <c r="A137" s="158" t="s">
        <v>198</v>
      </c>
      <c r="B137" s="142" t="s">
        <v>1098</v>
      </c>
      <c r="C137" s="208" t="str">
        <f>VLOOKUP(A137,'2-Inventário de Necessidades'!$A$2:$C$63,3)</f>
        <v>Viabilização de infraestrutura para produção de conteúdo de vídeo e transmissão das Sessões Plenárias</v>
      </c>
      <c r="D137" s="155">
        <f>VLOOKUP(A137,'2-Inventário de Necessidades'!$A$2:$R$63,18)</f>
        <v>1</v>
      </c>
    </row>
    <row r="138" spans="1:4" ht="15.75" thickBot="1" x14ac:dyDescent="0.3">
      <c r="A138" s="158" t="s">
        <v>202</v>
      </c>
      <c r="B138" s="142" t="s">
        <v>711</v>
      </c>
      <c r="C138" s="208" t="str">
        <f>VLOOKUP(A138,'2-Inventário de Necessidades'!$A$2:$C$63,3)</f>
        <v>Conclusão da solução GRAC - Registro de atos de concessão</v>
      </c>
      <c r="D138" s="155">
        <f>VLOOKUP(A138,'2-Inventário de Necessidades'!$A$2:$R$63,18)</f>
        <v>0</v>
      </c>
    </row>
    <row r="139" spans="1:4" ht="15.75" thickBot="1" x14ac:dyDescent="0.3">
      <c r="A139" s="158" t="s">
        <v>202</v>
      </c>
      <c r="B139" s="142" t="s">
        <v>712</v>
      </c>
      <c r="C139" s="208" t="str">
        <f>VLOOKUP(A139,'2-Inventário de Necessidades'!$A$2:$C$63,3)</f>
        <v>Conclusão da solução GRAC - Registro de atos de concessão</v>
      </c>
      <c r="D139" s="155">
        <f>VLOOKUP(A139,'2-Inventário de Necessidades'!$A$2:$R$63,18)</f>
        <v>0</v>
      </c>
    </row>
    <row r="140" spans="1:4" ht="15.75" thickBot="1" x14ac:dyDescent="0.3">
      <c r="A140" s="158" t="s">
        <v>202</v>
      </c>
      <c r="B140" s="142" t="s">
        <v>713</v>
      </c>
      <c r="C140" s="208" t="str">
        <f>VLOOKUP(A140,'2-Inventário de Necessidades'!$A$2:$C$63,3)</f>
        <v>Conclusão da solução GRAC - Registro de atos de concessão</v>
      </c>
      <c r="D140" s="155">
        <f>VLOOKUP(A140,'2-Inventário de Necessidades'!$A$2:$R$63,18)</f>
        <v>0</v>
      </c>
    </row>
    <row r="141" spans="1:4" ht="15.75" thickBot="1" x14ac:dyDescent="0.3">
      <c r="A141" s="158" t="s">
        <v>202</v>
      </c>
      <c r="B141" s="142" t="s">
        <v>247</v>
      </c>
      <c r="C141" s="208" t="str">
        <f>VLOOKUP(A141,'2-Inventário de Necessidades'!$A$2:$C$63,3)</f>
        <v>Conclusão da solução GRAC - Registro de atos de concessão</v>
      </c>
      <c r="D141" s="155">
        <f>VLOOKUP(A141,'2-Inventário de Necessidades'!$A$2:$R$63,18)</f>
        <v>0</v>
      </c>
    </row>
    <row r="142" spans="1:4" ht="15.75" thickBot="1" x14ac:dyDescent="0.3">
      <c r="A142" s="158" t="s">
        <v>204</v>
      </c>
      <c r="B142" s="142" t="s">
        <v>711</v>
      </c>
      <c r="C142" s="208" t="str">
        <f>VLOOKUP(A142,'2-Inventário de Necessidades'!$A$2:$C$63,3)</f>
        <v>Conclusão da solução GRAC - Registro de atos de concessão</v>
      </c>
      <c r="D142" s="155">
        <f>VLOOKUP(A142,'2-Inventário de Necessidades'!$A$2:$R$63,18)</f>
        <v>0</v>
      </c>
    </row>
    <row r="143" spans="1:4" ht="15.75" thickBot="1" x14ac:dyDescent="0.3">
      <c r="A143" s="158" t="s">
        <v>204</v>
      </c>
      <c r="B143" s="142" t="s">
        <v>712</v>
      </c>
      <c r="C143" s="208" t="str">
        <f>VLOOKUP(A143,'2-Inventário de Necessidades'!$A$2:$C$63,3)</f>
        <v>Conclusão da solução GRAC - Registro de atos de concessão</v>
      </c>
      <c r="D143" s="155">
        <f>VLOOKUP(A143,'2-Inventário de Necessidades'!$A$2:$R$63,18)</f>
        <v>0</v>
      </c>
    </row>
    <row r="144" spans="1:4" ht="15.75" thickBot="1" x14ac:dyDescent="0.3">
      <c r="A144" s="158" t="s">
        <v>204</v>
      </c>
      <c r="B144" s="142" t="s">
        <v>713</v>
      </c>
      <c r="C144" s="208" t="str">
        <f>VLOOKUP(A144,'2-Inventário de Necessidades'!$A$2:$C$63,3)</f>
        <v>Conclusão da solução GRAC - Registro de atos de concessão</v>
      </c>
      <c r="D144" s="155">
        <f>VLOOKUP(A144,'2-Inventário de Necessidades'!$A$2:$R$63,18)</f>
        <v>0</v>
      </c>
    </row>
    <row r="145" spans="1:4" ht="15.75" thickBot="1" x14ac:dyDescent="0.3">
      <c r="A145" s="158" t="s">
        <v>204</v>
      </c>
      <c r="B145" s="142" t="s">
        <v>722</v>
      </c>
      <c r="C145" s="208" t="str">
        <f>VLOOKUP(A145,'2-Inventário de Necessidades'!$A$2:$C$63,3)</f>
        <v>Conclusão da solução GRAC - Registro de atos de concessão</v>
      </c>
      <c r="D145" s="155">
        <f>VLOOKUP(A145,'2-Inventário de Necessidades'!$A$2:$R$63,18)</f>
        <v>0</v>
      </c>
    </row>
    <row r="146" spans="1:4" ht="15.75" thickBot="1" x14ac:dyDescent="0.3">
      <c r="A146" s="158" t="s">
        <v>204</v>
      </c>
      <c r="B146" s="142" t="s">
        <v>247</v>
      </c>
      <c r="C146" s="208" t="str">
        <f>VLOOKUP(A146,'2-Inventário de Necessidades'!$A$2:$C$63,3)</f>
        <v>Conclusão da solução GRAC - Registro de atos de concessão</v>
      </c>
      <c r="D146" s="155">
        <f>VLOOKUP(A146,'2-Inventário de Necessidades'!$A$2:$R$63,18)</f>
        <v>0</v>
      </c>
    </row>
    <row r="147" spans="1:4" ht="15.75" thickBot="1" x14ac:dyDescent="0.3">
      <c r="A147" s="158" t="s">
        <v>284</v>
      </c>
      <c r="B147" s="142" t="s">
        <v>719</v>
      </c>
      <c r="C147" s="208" t="str">
        <f>VLOOKUP(A147,'2-Inventário de Necessidades'!$A$2:$C$63,3)</f>
        <v>Ajustar sistemas internos às necessidades do usuários.</v>
      </c>
      <c r="D147" s="155">
        <f>VLOOKUP(A147,'2-Inventário de Necessidades'!$A$2:$R$63,18)</f>
        <v>0.75</v>
      </c>
    </row>
    <row r="148" spans="1:4" ht="15.75" thickBot="1" x14ac:dyDescent="0.3">
      <c r="A148" s="158" t="s">
        <v>284</v>
      </c>
      <c r="B148" s="142" t="s">
        <v>721</v>
      </c>
      <c r="C148" s="208" t="str">
        <f>VLOOKUP(A148,'2-Inventário de Necessidades'!$A$2:$C$63,3)</f>
        <v>Ajustar sistemas internos às necessidades do usuários.</v>
      </c>
      <c r="D148" s="155">
        <f>VLOOKUP(A148,'2-Inventário de Necessidades'!$A$2:$R$63,18)</f>
        <v>0.75</v>
      </c>
    </row>
    <row r="149" spans="1:4" s="73" customFormat="1" ht="15.75" thickBot="1" x14ac:dyDescent="0.3">
      <c r="A149" s="158" t="s">
        <v>781</v>
      </c>
      <c r="B149" s="142" t="s">
        <v>719</v>
      </c>
      <c r="C149" s="208" t="str">
        <f>VLOOKUP(A149,'2-Inventário de Necessidades'!$A$2:$C$63,3)</f>
        <v>Prover serviços de apoio técnico, realizar o gerenciamento de contratos, ativos e soluções de TI</v>
      </c>
      <c r="D149" s="155">
        <f>VLOOKUP(A149,'2-Inventário de Necessidades'!$A$2:$R$63,18)</f>
        <v>0</v>
      </c>
    </row>
    <row r="150" spans="1:4" s="73" customFormat="1" ht="15.75" thickBot="1" x14ac:dyDescent="0.3">
      <c r="A150" s="158" t="s">
        <v>781</v>
      </c>
      <c r="B150" s="142" t="s">
        <v>721</v>
      </c>
      <c r="C150" s="208" t="str">
        <f>VLOOKUP(A150,'2-Inventário de Necessidades'!$A$2:$C$63,3)</f>
        <v>Prover serviços de apoio técnico, realizar o gerenciamento de contratos, ativos e soluções de TI</v>
      </c>
      <c r="D150" s="155">
        <f>VLOOKUP(A150,'2-Inventário de Necessidades'!$A$2:$R$63,18)</f>
        <v>0</v>
      </c>
    </row>
    <row r="151" spans="1:4" s="73" customFormat="1" ht="15.75" thickBot="1" x14ac:dyDescent="0.3">
      <c r="A151" s="158" t="s">
        <v>911</v>
      </c>
      <c r="B151" s="142" t="s">
        <v>959</v>
      </c>
      <c r="C151" s="208" t="str">
        <f>VLOOKUP(A151,'2-Inventário de Necessidades'!$A$2:$C$63,3)</f>
        <v>Prover solução de gestão corporativa de riscos (MMD)</v>
      </c>
      <c r="D151" s="155">
        <f>VLOOKUP(A151,'2-Inventário de Necessidades'!$A$2:$R$63,18)</f>
        <v>0</v>
      </c>
    </row>
    <row r="152" spans="1:4" s="73" customFormat="1" ht="15.75" thickBot="1" x14ac:dyDescent="0.3">
      <c r="A152" s="158" t="s">
        <v>912</v>
      </c>
      <c r="B152" s="142" t="s">
        <v>959</v>
      </c>
      <c r="C152" s="208" t="str">
        <f>VLOOKUP(A152,'2-Inventário de Necessidades'!$A$2:$C$63,3)</f>
        <v>Prover solução para gestão de convênios (MMD)</v>
      </c>
      <c r="D152" s="155">
        <f>VLOOKUP(A152,'2-Inventário de Necessidades'!$A$2:$R$63,18)</f>
        <v>0</v>
      </c>
    </row>
    <row r="153" spans="1:4" s="73" customFormat="1" ht="15.75" thickBot="1" x14ac:dyDescent="0.3">
      <c r="A153" s="158" t="s">
        <v>913</v>
      </c>
      <c r="B153" s="142" t="s">
        <v>959</v>
      </c>
      <c r="C153" s="208" t="str">
        <f>VLOOKUP(A153,'2-Inventário de Necessidades'!$A$2:$C$63,3)</f>
        <v>Aprimoramento de serviços para atender quesitos de transparência propostos pela ENCCLA, bem como o cumprimento integral da LAI estadual e federal</v>
      </c>
      <c r="D153" s="155">
        <f>VLOOKUP(A153,'2-Inventário de Necessidades'!$A$2:$R$63,18)</f>
        <v>0.66666666666666663</v>
      </c>
    </row>
    <row r="154" spans="1:4" ht="15.75" thickBot="1" x14ac:dyDescent="0.3">
      <c r="A154" s="158" t="s">
        <v>1146</v>
      </c>
      <c r="B154" s="142" t="s">
        <v>1218</v>
      </c>
      <c r="C154" s="208" t="str">
        <f>VLOOKUP(A154,'2-Inventário de Necessidades'!$A$2:$C$63,3)</f>
        <v>Viabilizar a fiscalização e acompanhamento de concursos públicos</v>
      </c>
      <c r="D154" s="155">
        <f>VLOOKUP(A154,'2-Inventário de Necessidades'!$A$2:$R$63,18)</f>
        <v>0</v>
      </c>
    </row>
    <row r="155" spans="1:4" ht="15.75" thickBot="1" x14ac:dyDescent="0.3">
      <c r="A155" s="158" t="s">
        <v>1148</v>
      </c>
      <c r="B155" s="142" t="s">
        <v>1219</v>
      </c>
      <c r="C155" s="208" t="str">
        <f>VLOOKUP(A155,'2-Inventário de Necessidades'!$A$2:$C$63,3)</f>
        <v>Prover suporte tecnológico para a ampliação da comunicação corporativa no TCE-GO</v>
      </c>
      <c r="D155" s="155">
        <f>VLOOKUP(A155,'2-Inventário de Necessidades'!$A$2:$R$63,18)</f>
        <v>1</v>
      </c>
    </row>
    <row r="156" spans="1:4" x14ac:dyDescent="0.25">
      <c r="B156" s="192"/>
      <c r="C156" s="194"/>
      <c r="D156"/>
    </row>
    <row r="157" spans="1:4" x14ac:dyDescent="0.25">
      <c r="B157" s="192"/>
      <c r="C157" s="194"/>
      <c r="D157"/>
    </row>
    <row r="158" spans="1:4" x14ac:dyDescent="0.25">
      <c r="B158" s="192"/>
      <c r="C158" s="194"/>
      <c r="D158"/>
    </row>
    <row r="159" spans="1:4" x14ac:dyDescent="0.25">
      <c r="B159" s="192"/>
      <c r="C159" s="194"/>
      <c r="D159"/>
    </row>
    <row r="160" spans="1:4" x14ac:dyDescent="0.25">
      <c r="B160" s="192"/>
      <c r="C160" s="194"/>
      <c r="D160"/>
    </row>
    <row r="161" spans="2:3" x14ac:dyDescent="0.25">
      <c r="B161" s="192"/>
      <c r="C161" s="194"/>
    </row>
    <row r="162" spans="2:3" x14ac:dyDescent="0.25">
      <c r="B162" s="192"/>
      <c r="C162" s="194"/>
    </row>
    <row r="163" spans="2:3" x14ac:dyDescent="0.25">
      <c r="B163" s="192"/>
      <c r="C163" s="194"/>
    </row>
    <row r="164" spans="2:3" x14ac:dyDescent="0.25">
      <c r="B164" s="192"/>
      <c r="C164" s="194"/>
    </row>
    <row r="165" spans="2:3" x14ac:dyDescent="0.25">
      <c r="B165" s="192"/>
      <c r="C165" s="194"/>
    </row>
    <row r="166" spans="2:3" x14ac:dyDescent="0.25">
      <c r="B166" s="192"/>
      <c r="C166" s="194"/>
    </row>
    <row r="167" spans="2:3" x14ac:dyDescent="0.25">
      <c r="B167" s="192"/>
      <c r="C167" s="194"/>
    </row>
    <row r="168" spans="2:3" x14ac:dyDescent="0.25">
      <c r="B168" s="192"/>
      <c r="C168" s="194"/>
    </row>
    <row r="169" spans="2:3" x14ac:dyDescent="0.25">
      <c r="B169" s="192"/>
      <c r="C169" s="194"/>
    </row>
    <row r="170" spans="2:3" x14ac:dyDescent="0.25">
      <c r="B170" s="192"/>
      <c r="C170" s="194"/>
    </row>
    <row r="171" spans="2:3" x14ac:dyDescent="0.25">
      <c r="B171" s="192"/>
      <c r="C171" s="194"/>
    </row>
    <row r="172" spans="2:3" x14ac:dyDescent="0.25">
      <c r="B172" s="192"/>
      <c r="C172" s="194"/>
    </row>
    <row r="173" spans="2:3" x14ac:dyDescent="0.25">
      <c r="B173" s="192"/>
      <c r="C173" s="194"/>
    </row>
    <row r="174" spans="2:3" x14ac:dyDescent="0.25">
      <c r="B174" s="192"/>
      <c r="C174" s="194"/>
    </row>
    <row r="175" spans="2:3" x14ac:dyDescent="0.25">
      <c r="B175" s="192"/>
      <c r="C175" s="194"/>
    </row>
    <row r="176" spans="2:3" x14ac:dyDescent="0.25">
      <c r="B176" s="192"/>
      <c r="C176" s="194"/>
    </row>
    <row r="177" spans="2:3" x14ac:dyDescent="0.25">
      <c r="B177" s="192"/>
      <c r="C177" s="194"/>
    </row>
    <row r="178" spans="2:3" x14ac:dyDescent="0.25">
      <c r="B178" s="192"/>
      <c r="C178" s="194"/>
    </row>
    <row r="179" spans="2:3" x14ac:dyDescent="0.25">
      <c r="B179" s="192"/>
      <c r="C179" s="194"/>
    </row>
    <row r="180" spans="2:3" x14ac:dyDescent="0.25">
      <c r="B180" s="192"/>
      <c r="C180" s="194"/>
    </row>
  </sheetData>
  <autoFilter ref="A2:B153">
    <sortState ref="A2:B139">
      <sortCondition ref="A1"/>
    </sortState>
  </autoFilter>
  <customSheetViews>
    <customSheetView guid="{6DFBCBA6-E327-48F2-941C-44ACD0154C7D}" fitToPage="1" showAutoFilter="1" topLeftCell="A138">
      <selection activeCell="D153" sqref="D3:D153"/>
      <pageMargins left="0.511811024" right="0.511811024" top="0.78740157499999996" bottom="0.78740157499999996" header="0.31496062000000002" footer="0.31496062000000002"/>
      <pageSetup paperSize="9" scale="88" fitToHeight="0" orientation="portrait" r:id="rId1"/>
      <autoFilter ref="A2:B153">
        <sortState ref="A2:B139">
          <sortCondition ref="A1"/>
        </sortState>
      </autoFilter>
    </customSheetView>
    <customSheetView guid="{9DA56328-1E02-4631-BF3A-66F8FD0B96FD}" fitToPage="1" showAutoFilter="1" topLeftCell="A138">
      <selection activeCell="D153" sqref="D3:D153"/>
      <pageMargins left="0.511811024" right="0.511811024" top="0.78740157499999996" bottom="0.78740157499999996" header="0.31496062000000002" footer="0.31496062000000002"/>
      <pageSetup paperSize="9" scale="88" fitToHeight="0" orientation="portrait" r:id="rId2"/>
      <autoFilter ref="A2:B153">
        <sortState ref="A2:B139">
          <sortCondition ref="A1"/>
        </sortState>
      </autoFilter>
    </customSheetView>
  </customSheetViews>
  <pageMargins left="0.511811024" right="0.511811024" top="0.78740157499999996" bottom="0.78740157499999996" header="0.31496062000000002" footer="0.31496062000000002"/>
  <pageSetup paperSize="9" scale="88" fitToHeight="0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opLeftCell="A7" zoomScaleNormal="100" workbookViewId="0">
      <selection activeCell="B9" sqref="B9"/>
    </sheetView>
  </sheetViews>
  <sheetFormatPr defaultRowHeight="30" customHeight="1" x14ac:dyDescent="0.25"/>
  <cols>
    <col min="1" max="1" width="18.140625" style="28" bestFit="1" customWidth="1"/>
    <col min="2" max="2" width="50.140625" style="28" customWidth="1"/>
    <col min="3" max="3" width="6.42578125" style="28" customWidth="1"/>
    <col min="4" max="4" width="131.42578125" style="28" bestFit="1" customWidth="1"/>
    <col min="5" max="16384" width="9.140625" style="28"/>
  </cols>
  <sheetData>
    <row r="1" spans="1:4" ht="30" customHeight="1" thickBot="1" x14ac:dyDescent="0.3">
      <c r="A1" s="28" t="s">
        <v>1103</v>
      </c>
    </row>
    <row r="2" spans="1:4" s="1" customFormat="1" ht="30" customHeight="1" thickBot="1" x14ac:dyDescent="0.3">
      <c r="A2" s="163" t="s">
        <v>860</v>
      </c>
      <c r="B2" s="163" t="s">
        <v>861</v>
      </c>
      <c r="C2" s="166" t="s">
        <v>205</v>
      </c>
      <c r="D2" s="163" t="s">
        <v>859</v>
      </c>
    </row>
    <row r="3" spans="1:4" ht="30" customHeight="1" thickBot="1" x14ac:dyDescent="0.3">
      <c r="A3" s="158" t="s">
        <v>863</v>
      </c>
      <c r="B3" s="165" t="s">
        <v>864</v>
      </c>
      <c r="C3" s="158">
        <v>1</v>
      </c>
      <c r="D3" s="165" t="s">
        <v>862</v>
      </c>
    </row>
    <row r="4" spans="1:4" ht="30" customHeight="1" thickBot="1" x14ac:dyDescent="0.3">
      <c r="A4" s="158" t="s">
        <v>863</v>
      </c>
      <c r="B4" s="165" t="s">
        <v>864</v>
      </c>
      <c r="C4" s="158">
        <v>2</v>
      </c>
      <c r="D4" s="165" t="s">
        <v>865</v>
      </c>
    </row>
    <row r="5" spans="1:4" ht="30" customHeight="1" thickBot="1" x14ac:dyDescent="0.3">
      <c r="A5" s="158" t="s">
        <v>863</v>
      </c>
      <c r="B5" s="165" t="s">
        <v>867</v>
      </c>
      <c r="C5" s="158">
        <v>3</v>
      </c>
      <c r="D5" s="165" t="s">
        <v>866</v>
      </c>
    </row>
    <row r="6" spans="1:4" ht="30" customHeight="1" thickBot="1" x14ac:dyDescent="0.3">
      <c r="A6" s="158" t="s">
        <v>863</v>
      </c>
      <c r="B6" s="165" t="s">
        <v>867</v>
      </c>
      <c r="C6" s="158">
        <v>4</v>
      </c>
      <c r="D6" s="165" t="s">
        <v>868</v>
      </c>
    </row>
    <row r="7" spans="1:4" ht="30" customHeight="1" thickBot="1" x14ac:dyDescent="0.3">
      <c r="A7" s="158" t="s">
        <v>863</v>
      </c>
      <c r="B7" s="165" t="s">
        <v>869</v>
      </c>
      <c r="C7" s="158">
        <v>5</v>
      </c>
      <c r="D7" s="165" t="s">
        <v>900</v>
      </c>
    </row>
    <row r="8" spans="1:4" ht="30" customHeight="1" thickBot="1" x14ac:dyDescent="0.3">
      <c r="A8" s="158" t="s">
        <v>863</v>
      </c>
      <c r="B8" s="165" t="s">
        <v>869</v>
      </c>
      <c r="C8" s="158">
        <v>6</v>
      </c>
      <c r="D8" s="165" t="s">
        <v>870</v>
      </c>
    </row>
    <row r="9" spans="1:4" ht="30" customHeight="1" thickBot="1" x14ac:dyDescent="0.3">
      <c r="A9" s="158" t="s">
        <v>863</v>
      </c>
      <c r="B9" s="165" t="s">
        <v>872</v>
      </c>
      <c r="C9" s="158">
        <v>7</v>
      </c>
      <c r="D9" s="165" t="s">
        <v>871</v>
      </c>
    </row>
    <row r="10" spans="1:4" ht="30" customHeight="1" thickBot="1" x14ac:dyDescent="0.3">
      <c r="A10" s="158" t="s">
        <v>863</v>
      </c>
      <c r="B10" s="165" t="s">
        <v>874</v>
      </c>
      <c r="C10" s="158">
        <v>8</v>
      </c>
      <c r="D10" s="165" t="s">
        <v>873</v>
      </c>
    </row>
    <row r="11" spans="1:4" ht="30" customHeight="1" thickBot="1" x14ac:dyDescent="0.3">
      <c r="A11" s="158" t="s">
        <v>863</v>
      </c>
      <c r="B11" s="165" t="s">
        <v>874</v>
      </c>
      <c r="C11" s="158">
        <v>9</v>
      </c>
      <c r="D11" s="165" t="s">
        <v>875</v>
      </c>
    </row>
    <row r="12" spans="1:4" ht="30" customHeight="1" thickBot="1" x14ac:dyDescent="0.3">
      <c r="A12" s="158" t="s">
        <v>863</v>
      </c>
      <c r="B12" s="165" t="s">
        <v>877</v>
      </c>
      <c r="C12" s="158">
        <v>10</v>
      </c>
      <c r="D12" s="165" t="s">
        <v>876</v>
      </c>
    </row>
    <row r="13" spans="1:4" ht="30" customHeight="1" thickBot="1" x14ac:dyDescent="0.3">
      <c r="A13" s="158" t="s">
        <v>863</v>
      </c>
      <c r="B13" s="165" t="s">
        <v>879</v>
      </c>
      <c r="C13" s="158">
        <v>11</v>
      </c>
      <c r="D13" s="165" t="s">
        <v>878</v>
      </c>
    </row>
    <row r="14" spans="1:4" ht="30" customHeight="1" thickBot="1" x14ac:dyDescent="0.3">
      <c r="A14" s="158" t="s">
        <v>863</v>
      </c>
      <c r="B14" s="165" t="s">
        <v>879</v>
      </c>
      <c r="C14" s="158">
        <v>12</v>
      </c>
      <c r="D14" s="165" t="s">
        <v>880</v>
      </c>
    </row>
    <row r="15" spans="1:4" ht="30" customHeight="1" thickBot="1" x14ac:dyDescent="0.3">
      <c r="A15" s="158" t="s">
        <v>863</v>
      </c>
      <c r="B15" s="165" t="s">
        <v>882</v>
      </c>
      <c r="C15" s="158">
        <v>13</v>
      </c>
      <c r="D15" s="165" t="s">
        <v>881</v>
      </c>
    </row>
    <row r="16" spans="1:4" ht="30" customHeight="1" thickBot="1" x14ac:dyDescent="0.3">
      <c r="A16" s="158" t="s">
        <v>863</v>
      </c>
      <c r="B16" s="165" t="s">
        <v>882</v>
      </c>
      <c r="C16" s="158">
        <v>14</v>
      </c>
      <c r="D16" s="165" t="s">
        <v>883</v>
      </c>
    </row>
    <row r="17" spans="1:4" ht="30" customHeight="1" thickBot="1" x14ac:dyDescent="0.3">
      <c r="A17" s="158" t="s">
        <v>863</v>
      </c>
      <c r="B17" s="165" t="s">
        <v>885</v>
      </c>
      <c r="C17" s="158">
        <v>15</v>
      </c>
      <c r="D17" s="165" t="s">
        <v>884</v>
      </c>
    </row>
    <row r="18" spans="1:4" ht="30" customHeight="1" thickBot="1" x14ac:dyDescent="0.3">
      <c r="A18" s="158" t="s">
        <v>887</v>
      </c>
      <c r="B18" s="165" t="s">
        <v>888</v>
      </c>
      <c r="C18" s="158">
        <v>16</v>
      </c>
      <c r="D18" s="165" t="s">
        <v>886</v>
      </c>
    </row>
    <row r="19" spans="1:4" ht="30" customHeight="1" thickBot="1" x14ac:dyDescent="0.3">
      <c r="A19" s="158" t="s">
        <v>887</v>
      </c>
      <c r="B19" s="165" t="s">
        <v>888</v>
      </c>
      <c r="C19" s="158">
        <v>16</v>
      </c>
      <c r="D19" s="165" t="s">
        <v>889</v>
      </c>
    </row>
    <row r="20" spans="1:4" ht="30" customHeight="1" thickBot="1" x14ac:dyDescent="0.3">
      <c r="A20" s="158" t="s">
        <v>887</v>
      </c>
      <c r="B20" s="165" t="s">
        <v>888</v>
      </c>
      <c r="C20" s="158">
        <v>18</v>
      </c>
      <c r="D20" s="165" t="s">
        <v>890</v>
      </c>
    </row>
    <row r="21" spans="1:4" ht="30" customHeight="1" thickBot="1" x14ac:dyDescent="0.3">
      <c r="A21" s="158" t="s">
        <v>887</v>
      </c>
      <c r="B21" s="165" t="s">
        <v>892</v>
      </c>
      <c r="C21" s="158">
        <v>19</v>
      </c>
      <c r="D21" s="165" t="s">
        <v>891</v>
      </c>
    </row>
    <row r="22" spans="1:4" ht="30" customHeight="1" thickBot="1" x14ac:dyDescent="0.3">
      <c r="A22" s="158" t="s">
        <v>887</v>
      </c>
      <c r="B22" s="165" t="s">
        <v>892</v>
      </c>
      <c r="C22" s="158">
        <v>20</v>
      </c>
      <c r="D22" s="165" t="s">
        <v>893</v>
      </c>
    </row>
    <row r="23" spans="1:4" ht="30" customHeight="1" thickBot="1" x14ac:dyDescent="0.3">
      <c r="A23" s="158" t="s">
        <v>887</v>
      </c>
      <c r="B23" s="165" t="s">
        <v>895</v>
      </c>
      <c r="C23" s="158">
        <v>21</v>
      </c>
      <c r="D23" s="165" t="s">
        <v>894</v>
      </c>
    </row>
    <row r="24" spans="1:4" ht="30" customHeight="1" thickBot="1" x14ac:dyDescent="0.3">
      <c r="A24" s="158" t="s">
        <v>899</v>
      </c>
      <c r="B24" s="165" t="s">
        <v>897</v>
      </c>
      <c r="C24" s="158">
        <v>22</v>
      </c>
      <c r="D24" s="165" t="s">
        <v>896</v>
      </c>
    </row>
    <row r="25" spans="1:4" ht="30" customHeight="1" thickBot="1" x14ac:dyDescent="0.3">
      <c r="A25" s="158" t="s">
        <v>899</v>
      </c>
      <c r="B25" s="165" t="s">
        <v>897</v>
      </c>
      <c r="C25" s="158">
        <v>23</v>
      </c>
      <c r="D25" s="165" t="s">
        <v>898</v>
      </c>
    </row>
  </sheetData>
  <autoFilter ref="A2:D25">
    <sortState ref="A2:D46">
      <sortCondition ref="C1:C46"/>
    </sortState>
  </autoFilter>
  <customSheetViews>
    <customSheetView guid="{6DFBCBA6-E327-48F2-941C-44ACD0154C7D}" fitToPage="1" showAutoFilter="1">
      <pageMargins left="0.511811024" right="0.511811024" top="0.78740157499999996" bottom="0.78740157499999996" header="0.31496062000000002" footer="0.31496062000000002"/>
      <pageSetup paperSize="9" scale="65" fitToHeight="0" orientation="landscape" r:id="rId1"/>
      <autoFilter ref="A2:D25">
        <sortState ref="A2:D46">
          <sortCondition ref="C1:C46"/>
        </sortState>
      </autoFilter>
    </customSheetView>
    <customSheetView guid="{9DA56328-1E02-4631-BF3A-66F8FD0B96FD}" fitToPage="1" showAutoFilter="1">
      <pageMargins left="0.511811024" right="0.511811024" top="0.78740157499999996" bottom="0.78740157499999996" header="0.31496062000000002" footer="0.31496062000000002"/>
      <pageSetup paperSize="9" scale="65" fitToHeight="0" orientation="landscape" r:id="rId2"/>
      <autoFilter ref="A2:D25">
        <sortState ref="A2:D46">
          <sortCondition ref="C1:C46"/>
        </sortState>
      </autoFilter>
    </customSheetView>
  </customSheetViews>
  <pageMargins left="0.511811024" right="0.511811024" top="0.78740157499999996" bottom="0.78740157499999996" header="0.31496062000000002" footer="0.31496062000000002"/>
  <pageSetup paperSize="9" scale="65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4"/>
  <sheetViews>
    <sheetView topLeftCell="A172" zoomScaleNormal="100" workbookViewId="0">
      <selection activeCell="B185" sqref="B185"/>
    </sheetView>
  </sheetViews>
  <sheetFormatPr defaultRowHeight="15" x14ac:dyDescent="0.25"/>
  <cols>
    <col min="1" max="1" width="7.7109375" style="29" bestFit="1" customWidth="1"/>
    <col min="2" max="2" width="16.42578125" style="29" bestFit="1" customWidth="1"/>
    <col min="3" max="3" width="122" style="29" bestFit="1" customWidth="1"/>
    <col min="4" max="16384" width="9.140625" style="29"/>
  </cols>
  <sheetData>
    <row r="1" spans="1:3" x14ac:dyDescent="0.25">
      <c r="A1" s="29" t="s">
        <v>1104</v>
      </c>
    </row>
    <row r="2" spans="1:3" s="1" customFormat="1" ht="15.75" x14ac:dyDescent="0.25">
      <c r="A2" s="75" t="s">
        <v>205</v>
      </c>
      <c r="B2" s="75" t="s">
        <v>760</v>
      </c>
      <c r="C2" s="162" t="s">
        <v>207</v>
      </c>
    </row>
    <row r="3" spans="1:3" x14ac:dyDescent="0.25">
      <c r="A3" s="79" t="s">
        <v>15</v>
      </c>
      <c r="B3" s="80" t="s">
        <v>727</v>
      </c>
      <c r="C3" s="159" t="str">
        <f>VLOOKUP(A3,'2-Inventário de Necessidades'!$A$2:$C$63,3)</f>
        <v>Viabilização de solução para atender à Nova Contabilidade do Setor Público</v>
      </c>
    </row>
    <row r="4" spans="1:3" x14ac:dyDescent="0.25">
      <c r="A4" s="79" t="s">
        <v>15</v>
      </c>
      <c r="B4" s="80" t="s">
        <v>728</v>
      </c>
      <c r="C4" s="159" t="str">
        <f>VLOOKUP(A4,'2-Inventário de Necessidades'!$A$2:$C$63,3)</f>
        <v>Viabilização de solução para atender à Nova Contabilidade do Setor Público</v>
      </c>
    </row>
    <row r="5" spans="1:3" x14ac:dyDescent="0.25">
      <c r="A5" s="79" t="s">
        <v>18</v>
      </c>
      <c r="B5" s="80" t="s">
        <v>737</v>
      </c>
      <c r="C5" s="159" t="str">
        <f>VLOOKUP(A5,'2-Inventário de Necessidades'!$A$2:$C$63,3)</f>
        <v>Viabilização de solução para fiscalização de licitações e contratos</v>
      </c>
    </row>
    <row r="6" spans="1:3" x14ac:dyDescent="0.25">
      <c r="A6" s="79" t="s">
        <v>20</v>
      </c>
      <c r="B6" s="80" t="s">
        <v>220</v>
      </c>
      <c r="C6" s="159" t="str">
        <f>VLOOKUP(A6,'2-Inventário de Necessidades'!$A$2:$C$63,3)</f>
        <v>Contratação de serviço técnico especializado em desenvolvimento e manutenção de software,infraestrutura de TI e administração de banco de dados</v>
      </c>
    </row>
    <row r="7" spans="1:3" x14ac:dyDescent="0.25">
      <c r="A7" s="79" t="s">
        <v>23</v>
      </c>
      <c r="B7" s="80" t="s">
        <v>741</v>
      </c>
      <c r="C7" s="159" t="str">
        <f>VLOOKUP(A7,'2-Inventário de Necessidades'!$A$2:$C$63,3)</f>
        <v>Desenvolvimento de solução de modernização do sistema de Plenário</v>
      </c>
    </row>
    <row r="8" spans="1:3" x14ac:dyDescent="0.25">
      <c r="A8" s="79" t="s">
        <v>23</v>
      </c>
      <c r="B8" s="80" t="s">
        <v>729</v>
      </c>
      <c r="C8" s="159" t="str">
        <f>VLOOKUP(A8,'2-Inventário de Necessidades'!$A$2:$C$63,3)</f>
        <v>Desenvolvimento de solução de modernização do sistema de Plenário</v>
      </c>
    </row>
    <row r="9" spans="1:3" x14ac:dyDescent="0.25">
      <c r="A9" s="79" t="s">
        <v>23</v>
      </c>
      <c r="B9" s="80" t="s">
        <v>730</v>
      </c>
      <c r="C9" s="159" t="str">
        <f>VLOOKUP(A9,'2-Inventário de Necessidades'!$A$2:$C$63,3)</f>
        <v>Desenvolvimento de solução de modernização do sistema de Plenário</v>
      </c>
    </row>
    <row r="10" spans="1:3" x14ac:dyDescent="0.25">
      <c r="A10" s="79" t="s">
        <v>25</v>
      </c>
      <c r="B10" s="80" t="s">
        <v>223</v>
      </c>
      <c r="C10" s="159" t="str">
        <f>VLOOKUP(A10,'2-Inventário de Necessidades'!$A$2:$C$63,3)</f>
        <v>Desenvolvimento de solução para gerenciamento de informações sobre gestores com contas julgadas irregulares</v>
      </c>
    </row>
    <row r="11" spans="1:3" x14ac:dyDescent="0.25">
      <c r="A11" s="79" t="s">
        <v>28</v>
      </c>
      <c r="B11" s="80" t="s">
        <v>731</v>
      </c>
      <c r="C11" s="159" t="str">
        <f>VLOOKUP(A11,'2-Inventário de Necessidades'!$A$2:$C$63,3)</f>
        <v>Desenvolvimento de solução de aprimoramento do acompanhamento de decisões</v>
      </c>
    </row>
    <row r="12" spans="1:3" x14ac:dyDescent="0.25">
      <c r="A12" s="79" t="s">
        <v>28</v>
      </c>
      <c r="B12" s="80" t="s">
        <v>223</v>
      </c>
      <c r="C12" s="159" t="str">
        <f>VLOOKUP(A12,'2-Inventário de Necessidades'!$A$2:$C$63,3)</f>
        <v>Desenvolvimento de solução de aprimoramento do acompanhamento de decisões</v>
      </c>
    </row>
    <row r="13" spans="1:3" x14ac:dyDescent="0.25">
      <c r="A13" s="79" t="s">
        <v>30</v>
      </c>
      <c r="B13" s="80" t="s">
        <v>733</v>
      </c>
      <c r="C13" s="159" t="str">
        <f>VLOOKUP(A13,'2-Inventário de Necessidades'!$A$2:$C$63,3)</f>
        <v>Desenvolvimento de solução de sistematização e consolidação de normas e jurisprudência</v>
      </c>
    </row>
    <row r="14" spans="1:3" x14ac:dyDescent="0.25">
      <c r="A14" s="79" t="s">
        <v>30</v>
      </c>
      <c r="B14" s="80" t="s">
        <v>732</v>
      </c>
      <c r="C14" s="159" t="str">
        <f>VLOOKUP(A14,'2-Inventário de Necessidades'!$A$2:$C$63,3)</f>
        <v>Desenvolvimento de solução de sistematização e consolidação de normas e jurisprudência</v>
      </c>
    </row>
    <row r="15" spans="1:3" x14ac:dyDescent="0.25">
      <c r="A15" s="79" t="s">
        <v>30</v>
      </c>
      <c r="B15" s="80" t="s">
        <v>731</v>
      </c>
      <c r="C15" s="159" t="str">
        <f>VLOOKUP(A15,'2-Inventário de Necessidades'!$A$2:$C$63,3)</f>
        <v>Desenvolvimento de solução de sistematização e consolidação de normas e jurisprudência</v>
      </c>
    </row>
    <row r="16" spans="1:3" x14ac:dyDescent="0.25">
      <c r="A16" s="79" t="s">
        <v>30</v>
      </c>
      <c r="B16" s="80" t="s">
        <v>223</v>
      </c>
      <c r="C16" s="159" t="str">
        <f>VLOOKUP(A16,'2-Inventário de Necessidades'!$A$2:$C$63,3)</f>
        <v>Desenvolvimento de solução de sistematização e consolidação de normas e jurisprudência</v>
      </c>
    </row>
    <row r="17" spans="1:3" x14ac:dyDescent="0.25">
      <c r="A17" s="79" t="s">
        <v>30</v>
      </c>
      <c r="B17" s="80" t="s">
        <v>734</v>
      </c>
      <c r="C17" s="159" t="str">
        <f>VLOOKUP(A17,'2-Inventário de Necessidades'!$A$2:$C$63,3)</f>
        <v>Desenvolvimento de solução de sistematização e consolidação de normas e jurisprudência</v>
      </c>
    </row>
    <row r="18" spans="1:3" x14ac:dyDescent="0.25">
      <c r="A18" s="79" t="s">
        <v>30</v>
      </c>
      <c r="B18" s="80" t="s">
        <v>735</v>
      </c>
      <c r="C18" s="159" t="str">
        <f>VLOOKUP(A18,'2-Inventário de Necessidades'!$A$2:$C$63,3)</f>
        <v>Desenvolvimento de solução de sistematização e consolidação de normas e jurisprudência</v>
      </c>
    </row>
    <row r="19" spans="1:3" x14ac:dyDescent="0.25">
      <c r="A19" s="79" t="s">
        <v>32</v>
      </c>
      <c r="B19" s="80" t="s">
        <v>727</v>
      </c>
      <c r="C19" s="159" t="str">
        <f>VLOOKUP(A19,'2-Inventário de Necessidades'!$A$2:$C$63,3)</f>
        <v>Manutenção, ampliação e melhoria da infraestrutura de TI e da 
rede de comunicação</v>
      </c>
    </row>
    <row r="20" spans="1:3" x14ac:dyDescent="0.25">
      <c r="A20" s="79" t="s">
        <v>32</v>
      </c>
      <c r="B20" s="160" t="s">
        <v>253</v>
      </c>
      <c r="C20" s="159" t="str">
        <f>VLOOKUP(A20,'2-Inventário de Necessidades'!$A$2:$C$63,3)</f>
        <v>Manutenção, ampliação e melhoria da infraestrutura de TI e da 
rede de comunicação</v>
      </c>
    </row>
    <row r="21" spans="1:3" x14ac:dyDescent="0.25">
      <c r="A21" s="79" t="s">
        <v>32</v>
      </c>
      <c r="B21" s="80" t="s">
        <v>220</v>
      </c>
      <c r="C21" s="159" t="str">
        <f>VLOOKUP(A21,'2-Inventário de Necessidades'!$A$2:$C$63,3)</f>
        <v>Manutenção, ampliação e melhoria da infraestrutura de TI e da 
rede de comunicação</v>
      </c>
    </row>
    <row r="22" spans="1:3" x14ac:dyDescent="0.25">
      <c r="A22" s="79" t="s">
        <v>32</v>
      </c>
      <c r="B22" s="80" t="s">
        <v>758</v>
      </c>
      <c r="C22" s="159" t="str">
        <f>VLOOKUP(A22,'2-Inventário de Necessidades'!$A$2:$C$63,3)</f>
        <v>Manutenção, ampliação e melhoria da infraestrutura de TI e da 
rede de comunicação</v>
      </c>
    </row>
    <row r="23" spans="1:3" x14ac:dyDescent="0.25">
      <c r="A23" s="79" t="s">
        <v>32</v>
      </c>
      <c r="B23" s="160" t="s">
        <v>283</v>
      </c>
      <c r="C23" s="159" t="str">
        <f>VLOOKUP(A23,'2-Inventário de Necessidades'!$A$2:$C$63,3)</f>
        <v>Manutenção, ampliação e melhoria da infraestrutura de TI e da 
rede de comunicação</v>
      </c>
    </row>
    <row r="24" spans="1:3" x14ac:dyDescent="0.25">
      <c r="A24" s="79" t="s">
        <v>32</v>
      </c>
      <c r="B24" s="80" t="s">
        <v>756</v>
      </c>
      <c r="C24" s="159" t="str">
        <f>VLOOKUP(A24,'2-Inventário de Necessidades'!$A$2:$C$63,3)</f>
        <v>Manutenção, ampliação e melhoria da infraestrutura de TI e da 
rede de comunicação</v>
      </c>
    </row>
    <row r="25" spans="1:3" x14ac:dyDescent="0.25">
      <c r="A25" s="79" t="s">
        <v>32</v>
      </c>
      <c r="B25" s="80" t="s">
        <v>736</v>
      </c>
      <c r="C25" s="159" t="str">
        <f>VLOOKUP(A25,'2-Inventário de Necessidades'!$A$2:$C$63,3)</f>
        <v>Manutenção, ampliação e melhoria da infraestrutura de TI e da 
rede de comunicação</v>
      </c>
    </row>
    <row r="26" spans="1:3" x14ac:dyDescent="0.25">
      <c r="A26" s="79" t="s">
        <v>32</v>
      </c>
      <c r="B26" s="80" t="s">
        <v>753</v>
      </c>
      <c r="C26" s="159" t="str">
        <f>VLOOKUP(A26,'2-Inventário de Necessidades'!$A$2:$C$63,3)</f>
        <v>Manutenção, ampliação e melhoria da infraestrutura de TI e da 
rede de comunicação</v>
      </c>
    </row>
    <row r="27" spans="1:3" x14ac:dyDescent="0.25">
      <c r="A27" s="79" t="s">
        <v>32</v>
      </c>
      <c r="B27" s="80" t="s">
        <v>734</v>
      </c>
      <c r="C27" s="159" t="str">
        <f>VLOOKUP(A27,'2-Inventário de Necessidades'!$A$2:$C$63,3)</f>
        <v>Manutenção, ampliação e melhoria da infraestrutura de TI e da 
rede de comunicação</v>
      </c>
    </row>
    <row r="28" spans="1:3" x14ac:dyDescent="0.25">
      <c r="A28" s="79" t="s">
        <v>32</v>
      </c>
      <c r="B28" s="80" t="s">
        <v>273</v>
      </c>
      <c r="C28" s="159" t="str">
        <f>VLOOKUP(A28,'2-Inventário de Necessidades'!$A$2:$C$63,3)</f>
        <v>Manutenção, ampliação e melhoria da infraestrutura de TI e da 
rede de comunicação</v>
      </c>
    </row>
    <row r="29" spans="1:3" x14ac:dyDescent="0.25">
      <c r="A29" s="79" t="s">
        <v>45</v>
      </c>
      <c r="B29" s="80" t="s">
        <v>246</v>
      </c>
      <c r="C29" s="159" t="str">
        <f>VLOOKUP(A29,'2-Inventário de Necessidades'!$A$2:$C$63,3)</f>
        <v>Sustentação e evolução do sistema TCE-Juris</v>
      </c>
    </row>
    <row r="30" spans="1:3" x14ac:dyDescent="0.25">
      <c r="A30" s="79" t="s">
        <v>45</v>
      </c>
      <c r="B30" s="80" t="s">
        <v>729</v>
      </c>
      <c r="C30" s="159" t="str">
        <f>VLOOKUP(A30,'2-Inventário de Necessidades'!$A$2:$C$63,3)</f>
        <v>Sustentação e evolução do sistema TCE-Juris</v>
      </c>
    </row>
    <row r="31" spans="1:3" x14ac:dyDescent="0.25">
      <c r="A31" s="79" t="s">
        <v>45</v>
      </c>
      <c r="B31" s="80" t="s">
        <v>243</v>
      </c>
      <c r="C31" s="159" t="str">
        <f>VLOOKUP(A31,'2-Inventário de Necessidades'!$A$2:$C$63,3)</f>
        <v>Sustentação e evolução do sistema TCE-Juris</v>
      </c>
    </row>
    <row r="32" spans="1:3" x14ac:dyDescent="0.25">
      <c r="A32" s="79" t="s">
        <v>45</v>
      </c>
      <c r="B32" s="80" t="s">
        <v>738</v>
      </c>
      <c r="C32" s="159" t="str">
        <f>VLOOKUP(A32,'2-Inventário de Necessidades'!$A$2:$C$63,3)</f>
        <v>Sustentação e evolução do sistema TCE-Juris</v>
      </c>
    </row>
    <row r="33" spans="1:3" x14ac:dyDescent="0.25">
      <c r="A33" s="79" t="s">
        <v>45</v>
      </c>
      <c r="B33" s="160" t="s">
        <v>253</v>
      </c>
      <c r="C33" s="159" t="str">
        <f>VLOOKUP(A33,'2-Inventário de Necessidades'!$A$2:$C$63,3)</f>
        <v>Sustentação e evolução do sistema TCE-Juris</v>
      </c>
    </row>
    <row r="34" spans="1:3" x14ac:dyDescent="0.25">
      <c r="A34" s="79" t="s">
        <v>45</v>
      </c>
      <c r="B34" s="80" t="s">
        <v>737</v>
      </c>
      <c r="C34" s="159" t="str">
        <f>VLOOKUP(A34,'2-Inventário de Necessidades'!$A$2:$C$63,3)</f>
        <v>Sustentação e evolução do sistema TCE-Juris</v>
      </c>
    </row>
    <row r="35" spans="1:3" x14ac:dyDescent="0.25">
      <c r="A35" s="79" t="s">
        <v>45</v>
      </c>
      <c r="B35" s="80" t="s">
        <v>730</v>
      </c>
      <c r="C35" s="159" t="str">
        <f>VLOOKUP(A35,'2-Inventário de Necessidades'!$A$2:$C$63,3)</f>
        <v>Sustentação e evolução do sistema TCE-Juris</v>
      </c>
    </row>
    <row r="36" spans="1:3" x14ac:dyDescent="0.25">
      <c r="A36" s="79" t="s">
        <v>45</v>
      </c>
      <c r="B36" s="80" t="s">
        <v>756</v>
      </c>
      <c r="C36" s="159" t="str">
        <f>VLOOKUP(A36,'2-Inventário de Necessidades'!$A$2:$C$63,3)</f>
        <v>Sustentação e evolução do sistema TCE-Juris</v>
      </c>
    </row>
    <row r="37" spans="1:3" x14ac:dyDescent="0.25">
      <c r="A37" s="79" t="s">
        <v>45</v>
      </c>
      <c r="B37" s="80" t="s">
        <v>734</v>
      </c>
      <c r="C37" s="159" t="str">
        <f>VLOOKUP(A37,'2-Inventário de Necessidades'!$A$2:$C$63,3)</f>
        <v>Sustentação e evolução do sistema TCE-Juris</v>
      </c>
    </row>
    <row r="38" spans="1:3" x14ac:dyDescent="0.25">
      <c r="A38" s="79" t="s">
        <v>45</v>
      </c>
      <c r="B38" s="80" t="s">
        <v>734</v>
      </c>
      <c r="C38" s="159" t="str">
        <f>VLOOKUP(A38,'2-Inventário de Necessidades'!$A$2:$C$63,3)</f>
        <v>Sustentação e evolução do sistema TCE-Juris</v>
      </c>
    </row>
    <row r="39" spans="1:3" x14ac:dyDescent="0.25">
      <c r="A39" s="79" t="s">
        <v>45</v>
      </c>
      <c r="B39" s="80" t="s">
        <v>735</v>
      </c>
      <c r="C39" s="159" t="str">
        <f>VLOOKUP(A39,'2-Inventário de Necessidades'!$A$2:$C$63,3)</f>
        <v>Sustentação e evolução do sistema TCE-Juris</v>
      </c>
    </row>
    <row r="40" spans="1:3" x14ac:dyDescent="0.25">
      <c r="A40" s="79" t="s">
        <v>47</v>
      </c>
      <c r="B40" s="80" t="s">
        <v>729</v>
      </c>
      <c r="C40" s="159" t="str">
        <f>VLOOKUP(A40,'2-Inventário de Necessidades'!$A$2:$C$63,3)</f>
        <v>Implantação de Comitê Estratégico de TI</v>
      </c>
    </row>
    <row r="41" spans="1:3" x14ac:dyDescent="0.25">
      <c r="A41" s="79" t="s">
        <v>47</v>
      </c>
      <c r="B41" s="80" t="s">
        <v>220</v>
      </c>
      <c r="C41" s="159" t="str">
        <f>VLOOKUP(A41,'2-Inventário de Necessidades'!$A$2:$C$63,3)</f>
        <v>Implantação de Comitê Estratégico de TI</v>
      </c>
    </row>
    <row r="42" spans="1:3" x14ac:dyDescent="0.25">
      <c r="A42" s="79" t="s">
        <v>50</v>
      </c>
      <c r="B42" s="80" t="s">
        <v>220</v>
      </c>
      <c r="C42" s="159" t="str">
        <f>VLOOKUP(A42,'2-Inventário de Necessidades'!$A$2:$C$63,3)</f>
        <v>Elaboração e execução de gerenciamento de portfólio de projetos de TI</v>
      </c>
    </row>
    <row r="43" spans="1:3" x14ac:dyDescent="0.25">
      <c r="A43" s="79" t="s">
        <v>54</v>
      </c>
      <c r="B43" s="80" t="s">
        <v>220</v>
      </c>
      <c r="C43" s="159" t="str">
        <f>VLOOKUP(A43,'2-Inventário de Necessidades'!$A$2:$C$63,3)</f>
        <v>Ampliação e valorização do quadro de servidores de TI.</v>
      </c>
    </row>
    <row r="44" spans="1:3" x14ac:dyDescent="0.25">
      <c r="A44" s="79" t="s">
        <v>57</v>
      </c>
      <c r="B44" s="80" t="s">
        <v>744</v>
      </c>
      <c r="C44" s="159" t="str">
        <f>VLOOKUP(A44,'2-Inventário de Necessidades'!$A$2:$C$63,3)</f>
        <v>Sustentação e evolução do sistema GPRO</v>
      </c>
    </row>
    <row r="45" spans="1:3" x14ac:dyDescent="0.25">
      <c r="A45" s="79" t="s">
        <v>57</v>
      </c>
      <c r="B45" s="80" t="s">
        <v>733</v>
      </c>
      <c r="C45" s="159" t="str">
        <f>VLOOKUP(A45,'2-Inventário de Necessidades'!$A$2:$C$63,3)</f>
        <v>Sustentação e evolução do sistema GPRO</v>
      </c>
    </row>
    <row r="46" spans="1:3" x14ac:dyDescent="0.25">
      <c r="A46" s="79" t="s">
        <v>57</v>
      </c>
      <c r="B46" s="80" t="s">
        <v>729</v>
      </c>
      <c r="C46" s="159" t="str">
        <f>VLOOKUP(A46,'2-Inventário de Necessidades'!$A$2:$C$63,3)</f>
        <v>Sustentação e evolução do sistema GPRO</v>
      </c>
    </row>
    <row r="47" spans="1:3" x14ac:dyDescent="0.25">
      <c r="A47" s="79" t="s">
        <v>57</v>
      </c>
      <c r="B47" s="80" t="s">
        <v>741</v>
      </c>
      <c r="C47" s="159" t="str">
        <f>VLOOKUP(A47,'2-Inventário de Necessidades'!$A$2:$C$63,3)</f>
        <v>Sustentação e evolução do sistema GPRO</v>
      </c>
    </row>
    <row r="48" spans="1:3" x14ac:dyDescent="0.25">
      <c r="A48" s="79" t="s">
        <v>57</v>
      </c>
      <c r="B48" s="80" t="s">
        <v>732</v>
      </c>
      <c r="C48" s="159" t="str">
        <f>VLOOKUP(A48,'2-Inventário de Necessidades'!$A$2:$C$63,3)</f>
        <v>Sustentação e evolução do sistema GPRO</v>
      </c>
    </row>
    <row r="49" spans="1:3" x14ac:dyDescent="0.25">
      <c r="A49" s="79" t="s">
        <v>57</v>
      </c>
      <c r="B49" s="80" t="s">
        <v>732</v>
      </c>
      <c r="C49" s="159" t="str">
        <f>VLOOKUP(A49,'2-Inventário de Necessidades'!$A$2:$C$63,3)</f>
        <v>Sustentação e evolução do sistema GPRO</v>
      </c>
    </row>
    <row r="50" spans="1:3" x14ac:dyDescent="0.25">
      <c r="A50" s="79" t="s">
        <v>57</v>
      </c>
      <c r="B50" s="80" t="s">
        <v>731</v>
      </c>
      <c r="C50" s="159" t="str">
        <f>VLOOKUP(A50,'2-Inventário de Necessidades'!$A$2:$C$63,3)</f>
        <v>Sustentação e evolução do sistema GPRO</v>
      </c>
    </row>
    <row r="51" spans="1:3" x14ac:dyDescent="0.25">
      <c r="A51" s="79" t="s">
        <v>57</v>
      </c>
      <c r="B51" s="80" t="s">
        <v>283</v>
      </c>
      <c r="C51" s="159" t="str">
        <f>VLOOKUP(A51,'2-Inventário de Necessidades'!$A$2:$C$63,3)</f>
        <v>Sustentação e evolução do sistema GPRO</v>
      </c>
    </row>
    <row r="52" spans="1:3" x14ac:dyDescent="0.25">
      <c r="A52" s="79" t="s">
        <v>57</v>
      </c>
      <c r="B52" s="80" t="s">
        <v>730</v>
      </c>
      <c r="C52" s="159" t="str">
        <f>VLOOKUP(A52,'2-Inventário de Necessidades'!$A$2:$C$63,3)</f>
        <v>Sustentação e evolução do sistema GPRO</v>
      </c>
    </row>
    <row r="53" spans="1:3" x14ac:dyDescent="0.25">
      <c r="A53" s="79" t="s">
        <v>57</v>
      </c>
      <c r="B53" s="80" t="s">
        <v>755</v>
      </c>
      <c r="C53" s="159" t="str">
        <f>VLOOKUP(A53,'2-Inventário de Necessidades'!$A$2:$C$63,3)</f>
        <v>Sustentação e evolução do sistema GPRO</v>
      </c>
    </row>
    <row r="54" spans="1:3" x14ac:dyDescent="0.25">
      <c r="A54" s="79" t="s">
        <v>57</v>
      </c>
      <c r="B54" s="80" t="s">
        <v>756</v>
      </c>
      <c r="C54" s="159" t="str">
        <f>VLOOKUP(A54,'2-Inventário de Necessidades'!$A$2:$C$63,3)</f>
        <v>Sustentação e evolução do sistema GPRO</v>
      </c>
    </row>
    <row r="55" spans="1:3" x14ac:dyDescent="0.25">
      <c r="A55" s="79" t="s">
        <v>60</v>
      </c>
      <c r="B55" s="80" t="s">
        <v>220</v>
      </c>
      <c r="C55" s="159" t="str">
        <f>VLOOKUP(A55,'2-Inventário de Necessidades'!$A$2:$C$63,3)</f>
        <v>Implantação da governança de TI</v>
      </c>
    </row>
    <row r="56" spans="1:3" x14ac:dyDescent="0.25">
      <c r="A56" s="79" t="s">
        <v>65</v>
      </c>
      <c r="B56" s="80" t="s">
        <v>731</v>
      </c>
      <c r="C56" s="159" t="str">
        <f>VLOOKUP(A56,'2-Inventário de Necessidades'!$A$2:$C$63,3)</f>
        <v>Conclusão da implantação de processo eletrônico</v>
      </c>
    </row>
    <row r="57" spans="1:3" x14ac:dyDescent="0.25">
      <c r="A57" s="79" t="s">
        <v>65</v>
      </c>
      <c r="B57" s="80" t="s">
        <v>223</v>
      </c>
      <c r="C57" s="159" t="str">
        <f>VLOOKUP(A57,'2-Inventário de Necessidades'!$A$2:$C$63,3)</f>
        <v>Conclusão da implantação de processo eletrônico</v>
      </c>
    </row>
    <row r="58" spans="1:3" x14ac:dyDescent="0.25">
      <c r="A58" s="79" t="s">
        <v>65</v>
      </c>
      <c r="B58" s="80" t="s">
        <v>755</v>
      </c>
      <c r="C58" s="159" t="str">
        <f>VLOOKUP(A58,'2-Inventário de Necessidades'!$A$2:$C$63,3)</f>
        <v>Conclusão da implantação de processo eletrônico</v>
      </c>
    </row>
    <row r="59" spans="1:3" x14ac:dyDescent="0.25">
      <c r="A59" s="79" t="s">
        <v>68</v>
      </c>
      <c r="B59" s="80" t="s">
        <v>220</v>
      </c>
      <c r="C59" s="159" t="str">
        <f>VLOOKUP(A59,'2-Inventário de Necessidades'!$A$2:$C$63,3)</f>
        <v>Acompanhamento e transparência na execução das ações constantes no PDTI</v>
      </c>
    </row>
    <row r="60" spans="1:3" x14ac:dyDescent="0.25">
      <c r="A60" s="79" t="s">
        <v>68</v>
      </c>
      <c r="B60" s="80" t="s">
        <v>756</v>
      </c>
      <c r="C60" s="159" t="str">
        <f>VLOOKUP(A60,'2-Inventário de Necessidades'!$A$2:$C$63,3)</f>
        <v>Acompanhamento e transparência na execução das ações constantes no PDTI</v>
      </c>
    </row>
    <row r="61" spans="1:3" x14ac:dyDescent="0.25">
      <c r="A61" s="79" t="s">
        <v>5</v>
      </c>
      <c r="B61" s="80" t="s">
        <v>251</v>
      </c>
      <c r="C61" s="159" t="str">
        <f>VLOOKUP(A61,'2-Inventário de Necessidades'!$A$2:$C$63,3)</f>
        <v>Modernização do parque tecnológico</v>
      </c>
    </row>
    <row r="62" spans="1:3" x14ac:dyDescent="0.25">
      <c r="A62" s="79" t="s">
        <v>5</v>
      </c>
      <c r="B62" s="80" t="s">
        <v>739</v>
      </c>
      <c r="C62" s="159" t="str">
        <f>VLOOKUP(A62,'2-Inventário de Necessidades'!$A$2:$C$63,3)</f>
        <v>Modernização do parque tecnológico</v>
      </c>
    </row>
    <row r="63" spans="1:3" x14ac:dyDescent="0.25">
      <c r="A63" s="79" t="s">
        <v>5</v>
      </c>
      <c r="B63" s="80" t="s">
        <v>246</v>
      </c>
      <c r="C63" s="159" t="str">
        <f>VLOOKUP(A63,'2-Inventário de Necessidades'!$A$2:$C$63,3)</f>
        <v>Modernização do parque tecnológico</v>
      </c>
    </row>
    <row r="64" spans="1:3" x14ac:dyDescent="0.25">
      <c r="A64" s="79" t="s">
        <v>5</v>
      </c>
      <c r="B64" s="80" t="s">
        <v>220</v>
      </c>
      <c r="C64" s="159" t="str">
        <f>VLOOKUP(A64,'2-Inventário de Necessidades'!$A$2:$C$63,3)</f>
        <v>Modernização do parque tecnológico</v>
      </c>
    </row>
    <row r="65" spans="1:3" x14ac:dyDescent="0.25">
      <c r="A65" s="79" t="s">
        <v>5</v>
      </c>
      <c r="B65" s="80" t="s">
        <v>758</v>
      </c>
      <c r="C65" s="159" t="str">
        <f>VLOOKUP(A65,'2-Inventário de Necessidades'!$A$2:$C$63,3)</f>
        <v>Modernização do parque tecnológico</v>
      </c>
    </row>
    <row r="66" spans="1:3" x14ac:dyDescent="0.25">
      <c r="A66" s="79" t="s">
        <v>5</v>
      </c>
      <c r="B66" s="160" t="s">
        <v>283</v>
      </c>
      <c r="C66" s="159" t="str">
        <f>VLOOKUP(A66,'2-Inventário de Necessidades'!$A$2:$C$63,3)</f>
        <v>Modernização do parque tecnológico</v>
      </c>
    </row>
    <row r="67" spans="1:3" x14ac:dyDescent="0.25">
      <c r="A67" s="79" t="s">
        <v>5</v>
      </c>
      <c r="B67" s="80" t="s">
        <v>756</v>
      </c>
      <c r="C67" s="159" t="str">
        <f>VLOOKUP(A67,'2-Inventário de Necessidades'!$A$2:$C$63,3)</f>
        <v>Modernização do parque tecnológico</v>
      </c>
    </row>
    <row r="68" spans="1:3" x14ac:dyDescent="0.25">
      <c r="A68" s="161" t="s">
        <v>80</v>
      </c>
      <c r="B68" s="160" t="s">
        <v>251</v>
      </c>
      <c r="C68" s="159" t="str">
        <f>VLOOKUP(A68,'2-Inventário de Necessidades'!$A$2:$C$63,3)</f>
        <v>Capacitação no uso de ferramentas de TI e de sistemas corporativos de TI do TCE para os servidores em geral</v>
      </c>
    </row>
    <row r="69" spans="1:3" x14ac:dyDescent="0.25">
      <c r="A69" s="161" t="s">
        <v>80</v>
      </c>
      <c r="B69" s="160" t="s">
        <v>742</v>
      </c>
      <c r="C69" s="159" t="str">
        <f>VLOOKUP(A69,'2-Inventário de Necessidades'!$A$2:$C$63,3)</f>
        <v>Capacitação no uso de ferramentas de TI e de sistemas corporativos de TI do TCE para os servidores em geral</v>
      </c>
    </row>
    <row r="70" spans="1:3" x14ac:dyDescent="0.25">
      <c r="A70" s="161" t="s">
        <v>80</v>
      </c>
      <c r="B70" s="160" t="s">
        <v>741</v>
      </c>
      <c r="C70" s="159" t="str">
        <f>VLOOKUP(A70,'2-Inventário de Necessidades'!$A$2:$C$63,3)</f>
        <v>Capacitação no uso de ferramentas de TI e de sistemas corporativos de TI do TCE para os servidores em geral</v>
      </c>
    </row>
    <row r="71" spans="1:3" x14ac:dyDescent="0.25">
      <c r="A71" s="161" t="s">
        <v>80</v>
      </c>
      <c r="B71" s="160" t="s">
        <v>732</v>
      </c>
      <c r="C71" s="159" t="str">
        <f>VLOOKUP(A71,'2-Inventário de Necessidades'!$A$2:$C$63,3)</f>
        <v>Capacitação no uso de ferramentas de TI e de sistemas corporativos de TI do TCE para os servidores em geral</v>
      </c>
    </row>
    <row r="72" spans="1:3" x14ac:dyDescent="0.25">
      <c r="A72" s="161" t="s">
        <v>80</v>
      </c>
      <c r="B72" s="160" t="s">
        <v>243</v>
      </c>
      <c r="C72" s="159" t="str">
        <f>VLOOKUP(A72,'2-Inventário de Necessidades'!$A$2:$C$63,3)</f>
        <v>Capacitação no uso de ferramentas de TI e de sistemas corporativos de TI do TCE para os servidores em geral</v>
      </c>
    </row>
    <row r="73" spans="1:3" x14ac:dyDescent="0.25">
      <c r="A73" s="161" t="s">
        <v>80</v>
      </c>
      <c r="B73" s="160" t="s">
        <v>743</v>
      </c>
      <c r="C73" s="159" t="str">
        <f>VLOOKUP(A73,'2-Inventário de Necessidades'!$A$2:$C$63,3)</f>
        <v>Capacitação no uso de ferramentas de TI e de sistemas corporativos de TI do TCE para os servidores em geral</v>
      </c>
    </row>
    <row r="74" spans="1:3" x14ac:dyDescent="0.25">
      <c r="A74" s="79" t="s">
        <v>80</v>
      </c>
      <c r="B74" s="80" t="s">
        <v>758</v>
      </c>
      <c r="C74" s="159" t="str">
        <f>VLOOKUP(A74,'2-Inventário de Necessidades'!$A$2:$C$63,3)</f>
        <v>Capacitação no uso de ferramentas de TI e de sistemas corporativos de TI do TCE para os servidores em geral</v>
      </c>
    </row>
    <row r="75" spans="1:3" x14ac:dyDescent="0.25">
      <c r="A75" s="161" t="s">
        <v>80</v>
      </c>
      <c r="B75" s="160" t="s">
        <v>283</v>
      </c>
      <c r="C75" s="159" t="str">
        <f>VLOOKUP(A75,'2-Inventário de Necessidades'!$A$2:$C$63,3)</f>
        <v>Capacitação no uso de ferramentas de TI e de sistemas corporativos de TI do TCE para os servidores em geral</v>
      </c>
    </row>
    <row r="76" spans="1:3" x14ac:dyDescent="0.25">
      <c r="A76" s="161" t="s">
        <v>80</v>
      </c>
      <c r="B76" s="160" t="s">
        <v>736</v>
      </c>
      <c r="C76" s="159" t="str">
        <f>VLOOKUP(A76,'2-Inventário de Necessidades'!$A$2:$C$63,3)</f>
        <v>Capacitação no uso de ferramentas de TI e de sistemas corporativos de TI do TCE para os servidores em geral</v>
      </c>
    </row>
    <row r="77" spans="1:3" x14ac:dyDescent="0.25">
      <c r="A77" s="79" t="s">
        <v>80</v>
      </c>
      <c r="B77" s="80" t="s">
        <v>753</v>
      </c>
      <c r="C77" s="159" t="str">
        <f>VLOOKUP(A77,'2-Inventário de Necessidades'!$A$2:$C$63,3)</f>
        <v>Capacitação no uso de ferramentas de TI e de sistemas corporativos de TI do TCE para os servidores em geral</v>
      </c>
    </row>
    <row r="78" spans="1:3" x14ac:dyDescent="0.25">
      <c r="A78" s="161" t="s">
        <v>80</v>
      </c>
      <c r="B78" s="160" t="s">
        <v>740</v>
      </c>
      <c r="C78" s="159" t="str">
        <f>VLOOKUP(A78,'2-Inventário de Necessidades'!$A$2:$C$63,3)</f>
        <v>Capacitação no uso de ferramentas de TI e de sistemas corporativos de TI do TCE para os servidores em geral</v>
      </c>
    </row>
    <row r="79" spans="1:3" x14ac:dyDescent="0.25">
      <c r="A79" s="161" t="s">
        <v>80</v>
      </c>
      <c r="B79" s="80" t="s">
        <v>735</v>
      </c>
      <c r="C79" s="159" t="str">
        <f>VLOOKUP(A79,'2-Inventário de Necessidades'!$A$2:$C$63,3)</f>
        <v>Capacitação no uso de ferramentas de TI e de sistemas corporativos de TI do TCE para os servidores em geral</v>
      </c>
    </row>
    <row r="80" spans="1:3" x14ac:dyDescent="0.25">
      <c r="A80" s="161" t="s">
        <v>83</v>
      </c>
      <c r="B80" s="160" t="s">
        <v>220</v>
      </c>
      <c r="C80" s="159" t="str">
        <f>VLOOKUP(A80,'2-Inventário de Necessidades'!$A$2:$C$63,3)</f>
        <v>Implantação da Gestão de Segurança da Informação</v>
      </c>
    </row>
    <row r="81" spans="1:3" x14ac:dyDescent="0.25">
      <c r="A81" s="161" t="s">
        <v>83</v>
      </c>
      <c r="B81" s="160" t="s">
        <v>757</v>
      </c>
      <c r="C81" s="159" t="str">
        <f>VLOOKUP(A81,'2-Inventário de Necessidades'!$A$2:$C$63,3)</f>
        <v>Implantação da Gestão de Segurança da Informação</v>
      </c>
    </row>
    <row r="82" spans="1:3" x14ac:dyDescent="0.25">
      <c r="A82" s="161" t="s">
        <v>7</v>
      </c>
      <c r="B82" s="160" t="s">
        <v>220</v>
      </c>
      <c r="C82" s="159" t="str">
        <f>VLOOKUP(A82,'2-Inventário de Necessidades'!$A$2:$C$63,3)</f>
        <v>Capacitação dos servidores de TI</v>
      </c>
    </row>
    <row r="83" spans="1:3" x14ac:dyDescent="0.25">
      <c r="A83" s="161" t="s">
        <v>92</v>
      </c>
      <c r="B83" s="160" t="s">
        <v>243</v>
      </c>
      <c r="C83" s="159" t="str">
        <f>VLOOKUP(A83,'2-Inventário de Necessidades'!$A$2:$C$63,3)</f>
        <v>Implantação do novo sistema para atender ao artigo 30 da CE.</v>
      </c>
    </row>
    <row r="84" spans="1:3" x14ac:dyDescent="0.25">
      <c r="A84" s="161" t="s">
        <v>94</v>
      </c>
      <c r="B84" s="160" t="s">
        <v>744</v>
      </c>
      <c r="C84" s="159" t="str">
        <f>VLOOKUP(A84,'2-Inventário de Necessidades'!$A$2:$C$63,3)</f>
        <v>Viabilizar solução de monitoramento de tramitação de autos processuais e produção de documentos</v>
      </c>
    </row>
    <row r="85" spans="1:3" x14ac:dyDescent="0.25">
      <c r="A85" s="161" t="s">
        <v>94</v>
      </c>
      <c r="B85" s="160" t="s">
        <v>729</v>
      </c>
      <c r="C85" s="159" t="str">
        <f>VLOOKUP(A85,'2-Inventário de Necessidades'!$A$2:$C$63,3)</f>
        <v>Viabilizar solução de monitoramento de tramitação de autos processuais e produção de documentos</v>
      </c>
    </row>
    <row r="86" spans="1:3" x14ac:dyDescent="0.25">
      <c r="A86" s="161" t="s">
        <v>94</v>
      </c>
      <c r="B86" s="80" t="s">
        <v>758</v>
      </c>
      <c r="C86" s="159" t="str">
        <f>VLOOKUP(A86,'2-Inventário de Necessidades'!$A$2:$C$63,3)</f>
        <v>Viabilizar solução de monitoramento de tramitação de autos processuais e produção de documentos</v>
      </c>
    </row>
    <row r="87" spans="1:3" x14ac:dyDescent="0.25">
      <c r="A87" s="161" t="s">
        <v>97</v>
      </c>
      <c r="B87" s="160" t="s">
        <v>246</v>
      </c>
      <c r="C87" s="159" t="str">
        <f>VLOOKUP(A87,'2-Inventário de Necessidades'!$A$2:$C$63,3)</f>
        <v>Adequação dos sistemas do TCE-GO para viabilizar que os Conselheiros substitutos relatem processos</v>
      </c>
    </row>
    <row r="88" spans="1:3" x14ac:dyDescent="0.25">
      <c r="A88" s="161" t="s">
        <v>98</v>
      </c>
      <c r="B88" s="160" t="s">
        <v>220</v>
      </c>
      <c r="C88" s="159" t="str">
        <f>VLOOKUP(A88,'2-Inventário de Necessidades'!$A$2:$C$63,3)</f>
        <v>Sustentação da infraestrutura de TI da nova sede</v>
      </c>
    </row>
    <row r="89" spans="1:3" x14ac:dyDescent="0.25">
      <c r="A89" s="161" t="s">
        <v>101</v>
      </c>
      <c r="B89" s="80" t="s">
        <v>753</v>
      </c>
      <c r="C89" s="159" t="str">
        <f>VLOOKUP(A89,'2-Inventário de Necessidades'!$A$2:$C$63,3)</f>
        <v>Desenvolvimento de solução de gestão educacional corporativa</v>
      </c>
    </row>
    <row r="90" spans="1:3" x14ac:dyDescent="0.25">
      <c r="A90" s="161" t="s">
        <v>104</v>
      </c>
      <c r="B90" s="160" t="s">
        <v>223</v>
      </c>
      <c r="C90" s="159" t="str">
        <f>VLOOKUP(A90,'2-Inventário de Necessidades'!$A$2:$C$63,3)</f>
        <v>Viabilizar a análise de dados e o cruzamento de informações.</v>
      </c>
    </row>
    <row r="91" spans="1:3" x14ac:dyDescent="0.25">
      <c r="A91" s="161" t="s">
        <v>104</v>
      </c>
      <c r="B91" s="80" t="s">
        <v>756</v>
      </c>
      <c r="C91" s="159" t="str">
        <f>VLOOKUP(A91,'2-Inventário de Necessidades'!$A$2:$C$63,3)</f>
        <v>Viabilizar a análise de dados e o cruzamento de informações.</v>
      </c>
    </row>
    <row r="92" spans="1:3" x14ac:dyDescent="0.25">
      <c r="A92" s="161" t="s">
        <v>105</v>
      </c>
      <c r="B92" s="160" t="s">
        <v>251</v>
      </c>
      <c r="C92" s="159" t="str">
        <f>VLOOKUP(A92,'2-Inventário de Necessidades'!$A$2:$C$63,3)</f>
        <v>Viabilização da inserção do TCE-GO em Redes Sociais</v>
      </c>
    </row>
    <row r="93" spans="1:3" x14ac:dyDescent="0.25">
      <c r="A93" s="161" t="s">
        <v>108</v>
      </c>
      <c r="B93" s="160" t="s">
        <v>253</v>
      </c>
      <c r="C93" s="159" t="str">
        <f>VLOOKUP(A93,'2-Inventário de Necessidades'!$A$2:$C$63,3)</f>
        <v>Viabilização de divulgação na internet de ações e atividades de controle externo</v>
      </c>
    </row>
    <row r="94" spans="1:3" x14ac:dyDescent="0.25">
      <c r="A94" s="161" t="s">
        <v>111</v>
      </c>
      <c r="B94" s="160" t="s">
        <v>739</v>
      </c>
      <c r="C94" s="159" t="str">
        <f>VLOOKUP(A94,'2-Inventário de Necessidades'!$A$2:$C$63,3)</f>
        <v>Modernização dos sistemas corporativos com foco em acessibilidade</v>
      </c>
    </row>
    <row r="95" spans="1:3" x14ac:dyDescent="0.25">
      <c r="A95" s="161" t="s">
        <v>111</v>
      </c>
      <c r="B95" s="80" t="s">
        <v>753</v>
      </c>
      <c r="C95" s="159" t="str">
        <f>VLOOKUP(A95,'2-Inventário de Necessidades'!$A$2:$C$63,3)</f>
        <v>Modernização dos sistemas corporativos com foco em acessibilidade</v>
      </c>
    </row>
    <row r="96" spans="1:3" x14ac:dyDescent="0.25">
      <c r="A96" s="161" t="s">
        <v>114</v>
      </c>
      <c r="B96" s="160" t="s">
        <v>727</v>
      </c>
      <c r="C96" s="159" t="str">
        <f>VLOOKUP(A96,'2-Inventário de Necessidades'!$A$2:$C$63,3)</f>
        <v>Conclusão da regulamentação e implantação do sistema de auditoria de folha de pagamento - GAFP</v>
      </c>
    </row>
    <row r="97" spans="1:3" x14ac:dyDescent="0.25">
      <c r="A97" s="161" t="s">
        <v>114</v>
      </c>
      <c r="B97" s="160" t="s">
        <v>745</v>
      </c>
      <c r="C97" s="159" t="str">
        <f>VLOOKUP(A97,'2-Inventário de Necessidades'!$A$2:$C$63,3)</f>
        <v>Conclusão da regulamentação e implantação do sistema de auditoria de folha de pagamento - GAFP</v>
      </c>
    </row>
    <row r="98" spans="1:3" x14ac:dyDescent="0.25">
      <c r="A98" s="161" t="s">
        <v>117</v>
      </c>
      <c r="B98" s="160" t="s">
        <v>730</v>
      </c>
      <c r="C98" s="159" t="str">
        <f>VLOOKUP(A98,'2-Inventário de Necessidades'!$A$2:$C$63,3)</f>
        <v>Aprimoramento dos serviços do portal institucional do TCE-GO</v>
      </c>
    </row>
    <row r="99" spans="1:3" x14ac:dyDescent="0.25">
      <c r="A99" s="161" t="s">
        <v>117</v>
      </c>
      <c r="B99" s="160" t="s">
        <v>746</v>
      </c>
      <c r="C99" s="159" t="str">
        <f>VLOOKUP(A99,'2-Inventário de Necessidades'!$A$2:$C$63,3)</f>
        <v>Aprimoramento dos serviços do portal institucional do TCE-GO</v>
      </c>
    </row>
    <row r="100" spans="1:3" x14ac:dyDescent="0.25">
      <c r="A100" s="161" t="s">
        <v>120</v>
      </c>
      <c r="B100" s="160" t="s">
        <v>251</v>
      </c>
      <c r="C100" s="159" t="str">
        <f>VLOOKUP(A100,'2-Inventário de Necessidades'!$A$2:$C$63,3)</f>
        <v>Prover canal de comunicação para que os servidores e cidadãos informem suspeitas de irregularidades</v>
      </c>
    </row>
    <row r="101" spans="1:3" x14ac:dyDescent="0.25">
      <c r="A101" s="161" t="s">
        <v>121</v>
      </c>
      <c r="B101" s="160" t="s">
        <v>243</v>
      </c>
      <c r="C101" s="159" t="str">
        <f>VLOOKUP(A101,'2-Inventário de Necessidades'!$A$2:$C$63,3)</f>
        <v>Desenvolvimento de solução para fiscalização de contratação de pessoal temporários</v>
      </c>
    </row>
    <row r="102" spans="1:3" x14ac:dyDescent="0.25">
      <c r="A102" s="161" t="s">
        <v>124</v>
      </c>
      <c r="B102" s="160" t="s">
        <v>744</v>
      </c>
      <c r="C102" s="159" t="str">
        <f>VLOOKUP(A102,'2-Inventário de Necessidades'!$A$2:$C$63,3)</f>
        <v>Viabilizar solução de gestão documental e arquivística</v>
      </c>
    </row>
    <row r="103" spans="1:3" x14ac:dyDescent="0.25">
      <c r="A103" s="161" t="s">
        <v>124</v>
      </c>
      <c r="B103" s="160" t="s">
        <v>729</v>
      </c>
      <c r="C103" s="159" t="str">
        <f>VLOOKUP(A103,'2-Inventário de Necessidades'!$A$2:$C$63,3)</f>
        <v>Viabilizar solução de gestão documental e arquivística</v>
      </c>
    </row>
    <row r="104" spans="1:3" x14ac:dyDescent="0.25">
      <c r="A104" s="161" t="s">
        <v>124</v>
      </c>
      <c r="B104" s="160" t="s">
        <v>741</v>
      </c>
      <c r="C104" s="159" t="str">
        <f>VLOOKUP(A104,'2-Inventário de Necessidades'!$A$2:$C$63,3)</f>
        <v>Viabilizar solução de gestão documental e arquivística</v>
      </c>
    </row>
    <row r="105" spans="1:3" x14ac:dyDescent="0.25">
      <c r="A105" s="161" t="s">
        <v>124</v>
      </c>
      <c r="B105" s="160" t="s">
        <v>448</v>
      </c>
      <c r="C105" s="159" t="str">
        <f>VLOOKUP(A105,'2-Inventário de Necessidades'!$A$2:$C$63,3)</f>
        <v>Viabilizar solução de gestão documental e arquivística</v>
      </c>
    </row>
    <row r="106" spans="1:3" x14ac:dyDescent="0.25">
      <c r="A106" s="161" t="s">
        <v>124</v>
      </c>
      <c r="B106" s="160" t="s">
        <v>262</v>
      </c>
      <c r="C106" s="159" t="str">
        <f>VLOOKUP(A106,'2-Inventário de Necessidades'!$A$2:$C$63,3)</f>
        <v>Viabilizar solução de gestão documental e arquivística</v>
      </c>
    </row>
    <row r="107" spans="1:3" x14ac:dyDescent="0.25">
      <c r="A107" s="161" t="s">
        <v>124</v>
      </c>
      <c r="B107" s="80" t="s">
        <v>755</v>
      </c>
      <c r="C107" s="159" t="str">
        <f>VLOOKUP(A107,'2-Inventário de Necessidades'!$A$2:$C$63,3)</f>
        <v>Viabilizar solução de gestão documental e arquivística</v>
      </c>
    </row>
    <row r="108" spans="1:3" x14ac:dyDescent="0.25">
      <c r="A108" s="161" t="s">
        <v>124</v>
      </c>
      <c r="B108" s="160" t="s">
        <v>730</v>
      </c>
      <c r="C108" s="159" t="str">
        <f>VLOOKUP(A108,'2-Inventário de Necessidades'!$A$2:$C$63,3)</f>
        <v>Viabilizar solução de gestão documental e arquivística</v>
      </c>
    </row>
    <row r="109" spans="1:3" x14ac:dyDescent="0.25">
      <c r="A109" s="161" t="s">
        <v>124</v>
      </c>
      <c r="B109" s="80" t="s">
        <v>756</v>
      </c>
      <c r="C109" s="159" t="str">
        <f>VLOOKUP(A109,'2-Inventário de Necessidades'!$A$2:$C$63,3)</f>
        <v>Viabilizar solução de gestão documental e arquivística</v>
      </c>
    </row>
    <row r="110" spans="1:3" x14ac:dyDescent="0.25">
      <c r="A110" s="161" t="s">
        <v>127</v>
      </c>
      <c r="B110" s="160" t="s">
        <v>220</v>
      </c>
      <c r="C110" s="159" t="str">
        <f>VLOOKUP(A110,'2-Inventário de Necessidades'!$A$2:$C$63,3)</f>
        <v>Elaboração de instrumento de planejamento de TI 2018-2019</v>
      </c>
    </row>
    <row r="111" spans="1:3" x14ac:dyDescent="0.25">
      <c r="A111" s="161" t="s">
        <v>130</v>
      </c>
      <c r="B111" s="160" t="s">
        <v>262</v>
      </c>
      <c r="C111" s="159" t="str">
        <f>VLOOKUP(A111,'2-Inventário de Necessidades'!$A$2:$C$63,3)</f>
        <v>Modernização do Portal de Gestão de Pessoas</v>
      </c>
    </row>
    <row r="112" spans="1:3" x14ac:dyDescent="0.25">
      <c r="A112" s="161" t="s">
        <v>132</v>
      </c>
      <c r="B112" s="160" t="s">
        <v>243</v>
      </c>
      <c r="C112" s="159" t="str">
        <f>VLOOKUP(A112,'2-Inventário de Necessidades'!$A$2:$C$63,3)</f>
        <v xml:space="preserve">Aprimorar a solução de gestão dos cadastros de pessoa física, jurídica e Estrutura Organizacional do Estado </v>
      </c>
    </row>
    <row r="113" spans="1:3" x14ac:dyDescent="0.25">
      <c r="A113" s="161" t="s">
        <v>134</v>
      </c>
      <c r="B113" s="160" t="s">
        <v>220</v>
      </c>
      <c r="C113" s="159" t="str">
        <f>VLOOKUP(A113,'2-Inventário de Necessidades'!$A$2:$C$63,3)</f>
        <v>Criação e publicação de normativo estabelecendo as competências das unidades de TI</v>
      </c>
    </row>
    <row r="114" spans="1:3" x14ac:dyDescent="0.25">
      <c r="A114" s="161" t="s">
        <v>136</v>
      </c>
      <c r="B114" s="160" t="s">
        <v>220</v>
      </c>
      <c r="C114" s="159" t="str">
        <f>VLOOKUP(A114,'2-Inventário de Necessidades'!$A$2:$C$63,3)</f>
        <v>Aprimoramento do Serviço de Email Corporativo</v>
      </c>
    </row>
    <row r="115" spans="1:3" x14ac:dyDescent="0.25">
      <c r="A115" s="161" t="s">
        <v>140</v>
      </c>
      <c r="B115" s="160" t="s">
        <v>744</v>
      </c>
      <c r="C115" s="159" t="str">
        <f>VLOOKUP(A115,'2-Inventário de Necessidades'!$A$2:$C$63,3)</f>
        <v>Viabilização do intercâmbio de informações de interesse com outros orgãos da Administração Pública</v>
      </c>
    </row>
    <row r="116" spans="1:3" x14ac:dyDescent="0.25">
      <c r="A116" s="161" t="s">
        <v>140</v>
      </c>
      <c r="B116" s="160" t="s">
        <v>731</v>
      </c>
      <c r="C116" s="159" t="str">
        <f>VLOOKUP(A116,'2-Inventário de Necessidades'!$A$2:$C$63,3)</f>
        <v>Viabilização do intercâmbio de informações de interesse com outros orgãos da Administração Pública</v>
      </c>
    </row>
    <row r="117" spans="1:3" x14ac:dyDescent="0.25">
      <c r="A117" s="161" t="s">
        <v>140</v>
      </c>
      <c r="B117" s="160" t="s">
        <v>748</v>
      </c>
      <c r="C117" s="159" t="str">
        <f>VLOOKUP(A117,'2-Inventário de Necessidades'!$A$2:$C$63,3)</f>
        <v>Viabilização do intercâmbio de informações de interesse com outros orgãos da Administração Pública</v>
      </c>
    </row>
    <row r="118" spans="1:3" x14ac:dyDescent="0.25">
      <c r="A118" s="161" t="s">
        <v>140</v>
      </c>
      <c r="B118" s="160" t="s">
        <v>730</v>
      </c>
      <c r="C118" s="159" t="str">
        <f>VLOOKUP(A118,'2-Inventário de Necessidades'!$A$2:$C$63,3)</f>
        <v>Viabilização do intercâmbio de informações de interesse com outros orgãos da Administração Pública</v>
      </c>
    </row>
    <row r="119" spans="1:3" x14ac:dyDescent="0.25">
      <c r="A119" s="161" t="s">
        <v>140</v>
      </c>
      <c r="B119" s="160" t="s">
        <v>747</v>
      </c>
      <c r="C119" s="159" t="str">
        <f>VLOOKUP(A119,'2-Inventário de Necessidades'!$A$2:$C$63,3)</f>
        <v>Viabilização do intercâmbio de informações de interesse com outros orgãos da Administração Pública</v>
      </c>
    </row>
    <row r="120" spans="1:3" x14ac:dyDescent="0.25">
      <c r="A120" s="161" t="s">
        <v>142</v>
      </c>
      <c r="B120" s="160" t="s">
        <v>751</v>
      </c>
      <c r="C120" s="159" t="str">
        <f>VLOOKUP(A120,'2-Inventário de Necessidades'!$A$2:$C$63,3)</f>
        <v>Viabilização de divulgação na internet de ações, atividades e normas internas de gestão documental</v>
      </c>
    </row>
    <row r="121" spans="1:3" x14ac:dyDescent="0.25">
      <c r="A121" s="161" t="s">
        <v>142</v>
      </c>
      <c r="B121" s="160" t="s">
        <v>749</v>
      </c>
      <c r="C121" s="159" t="str">
        <f>VLOOKUP(A121,'2-Inventário de Necessidades'!$A$2:$C$63,3)</f>
        <v>Viabilização de divulgação na internet de ações, atividades e normas internas de gestão documental</v>
      </c>
    </row>
    <row r="122" spans="1:3" x14ac:dyDescent="0.25">
      <c r="A122" s="161" t="s">
        <v>142</v>
      </c>
      <c r="B122" s="160" t="s">
        <v>750</v>
      </c>
      <c r="C122" s="159" t="str">
        <f>VLOOKUP(A122,'2-Inventário de Necessidades'!$A$2:$C$63,3)</f>
        <v>Viabilização de divulgação na internet de ações, atividades e normas internas de gestão documental</v>
      </c>
    </row>
    <row r="123" spans="1:3" x14ac:dyDescent="0.25">
      <c r="A123" s="161" t="s">
        <v>145</v>
      </c>
      <c r="B123" s="160" t="s">
        <v>251</v>
      </c>
      <c r="C123" s="159" t="str">
        <f>VLOOKUP(A123,'2-Inventário de Necessidades'!$A$2:$C$63,3)</f>
        <v>Aquisição de softwares aplicativos</v>
      </c>
    </row>
    <row r="124" spans="1:3" x14ac:dyDescent="0.25">
      <c r="A124" s="161" t="s">
        <v>145</v>
      </c>
      <c r="B124" s="160" t="s">
        <v>739</v>
      </c>
      <c r="C124" s="159" t="str">
        <f>VLOOKUP(A124,'2-Inventário de Necessidades'!$A$2:$C$63,3)</f>
        <v>Aquisição de softwares aplicativos</v>
      </c>
    </row>
    <row r="125" spans="1:3" x14ac:dyDescent="0.25">
      <c r="A125" s="161" t="s">
        <v>145</v>
      </c>
      <c r="B125" s="160" t="s">
        <v>752</v>
      </c>
      <c r="C125" s="159" t="str">
        <f>VLOOKUP(A125,'2-Inventário de Necessidades'!$A$2:$C$63,3)</f>
        <v>Aquisição de softwares aplicativos</v>
      </c>
    </row>
    <row r="126" spans="1:3" x14ac:dyDescent="0.25">
      <c r="A126" s="161" t="s">
        <v>145</v>
      </c>
      <c r="B126" s="160" t="s">
        <v>253</v>
      </c>
      <c r="C126" s="159" t="str">
        <f>VLOOKUP(A126,'2-Inventário de Necessidades'!$A$2:$C$63,3)</f>
        <v>Aquisição de softwares aplicativos</v>
      </c>
    </row>
    <row r="127" spans="1:3" x14ac:dyDescent="0.25">
      <c r="A127" s="161" t="s">
        <v>145</v>
      </c>
      <c r="B127" s="160" t="s">
        <v>262</v>
      </c>
      <c r="C127" s="159" t="str">
        <f>VLOOKUP(A127,'2-Inventário de Necessidades'!$A$2:$C$63,3)</f>
        <v>Aquisição de softwares aplicativos</v>
      </c>
    </row>
    <row r="128" spans="1:3" x14ac:dyDescent="0.25">
      <c r="A128" s="161" t="s">
        <v>145</v>
      </c>
      <c r="B128" s="160" t="s">
        <v>220</v>
      </c>
      <c r="C128" s="159" t="str">
        <f>VLOOKUP(A128,'2-Inventário de Necessidades'!$A$2:$C$63,3)</f>
        <v>Aquisição de softwares aplicativos</v>
      </c>
    </row>
    <row r="129" spans="1:3" x14ac:dyDescent="0.25">
      <c r="A129" s="161" t="s">
        <v>145</v>
      </c>
      <c r="B129" s="160" t="s">
        <v>283</v>
      </c>
      <c r="C129" s="159" t="str">
        <f>VLOOKUP(A129,'2-Inventário de Necessidades'!$A$2:$C$63,3)</f>
        <v>Aquisição de softwares aplicativos</v>
      </c>
    </row>
    <row r="130" spans="1:3" x14ac:dyDescent="0.25">
      <c r="A130" s="161" t="s">
        <v>145</v>
      </c>
      <c r="B130" s="80" t="s">
        <v>756</v>
      </c>
      <c r="C130" s="159" t="str">
        <f>VLOOKUP(A130,'2-Inventário de Necessidades'!$A$2:$C$63,3)</f>
        <v>Aquisição de softwares aplicativos</v>
      </c>
    </row>
    <row r="131" spans="1:3" x14ac:dyDescent="0.25">
      <c r="A131" s="161" t="s">
        <v>167</v>
      </c>
      <c r="B131" s="80" t="s">
        <v>758</v>
      </c>
      <c r="C131" s="159" t="str">
        <f>VLOOKUP(A131,'2-Inventário de Necessidades'!$A$2:$C$63,3)</f>
        <v>Viabilização de utilização de soluções de armazenamento em nuvem</v>
      </c>
    </row>
    <row r="132" spans="1:3" x14ac:dyDescent="0.25">
      <c r="A132" s="161" t="s">
        <v>172</v>
      </c>
      <c r="B132" s="160" t="s">
        <v>243</v>
      </c>
      <c r="C132" s="159" t="str">
        <f>VLOOKUP(A132,'2-Inventário de Necessidades'!$A$2:$C$63,3)</f>
        <v>Desenvolvimento de solução para gestão de declarações de bens e rendas</v>
      </c>
    </row>
    <row r="133" spans="1:3" x14ac:dyDescent="0.25">
      <c r="A133" s="161" t="s">
        <v>175</v>
      </c>
      <c r="B133" s="160" t="s">
        <v>448</v>
      </c>
      <c r="C133" s="159" t="str">
        <f>VLOOKUP(A133,'2-Inventário de Necessidades'!$A$2:$C$63,3)</f>
        <v>Definição de Padrões de TI (Arquitetura, Código, BD) e documentá-los (elaborar/revisar Manuais de Sistemas, Guias)</v>
      </c>
    </row>
    <row r="134" spans="1:3" x14ac:dyDescent="0.25">
      <c r="A134" s="161" t="s">
        <v>175</v>
      </c>
      <c r="B134" s="160" t="s">
        <v>220</v>
      </c>
      <c r="C134" s="159" t="str">
        <f>VLOOKUP(A134,'2-Inventário de Necessidades'!$A$2:$C$63,3)</f>
        <v>Definição de Padrões de TI (Arquitetura, Código, BD) e documentá-los (elaborar/revisar Manuais de Sistemas, Guias)</v>
      </c>
    </row>
    <row r="135" spans="1:3" x14ac:dyDescent="0.25">
      <c r="A135" s="161" t="s">
        <v>178</v>
      </c>
      <c r="B135" s="160" t="s">
        <v>273</v>
      </c>
      <c r="C135" s="159" t="str">
        <f>VLOOKUP(A135,'2-Inventário de Necessidades'!$A$2:$C$63,3)</f>
        <v>Sustentação e evolução do sistema de gestão de material e patrimônio - GMAP</v>
      </c>
    </row>
    <row r="136" spans="1:3" x14ac:dyDescent="0.25">
      <c r="A136" s="161" t="s">
        <v>180</v>
      </c>
      <c r="B136" s="160" t="s">
        <v>275</v>
      </c>
      <c r="C136" s="159" t="str">
        <f>VLOOKUP(A136,'2-Inventário de Necessidades'!$A$2:$C$63,3)</f>
        <v>Desenvolver solução para solicitação de diárias</v>
      </c>
    </row>
    <row r="137" spans="1:3" x14ac:dyDescent="0.25">
      <c r="A137" s="161" t="s">
        <v>183</v>
      </c>
      <c r="B137" s="160" t="s">
        <v>220</v>
      </c>
      <c r="C137" s="159" t="str">
        <f>VLOOKUP(A137,'2-Inventário de Necessidades'!$A$2:$C$63,3)</f>
        <v>Implantação do Gerenciamento de Serviços de TI</v>
      </c>
    </row>
    <row r="138" spans="1:3" x14ac:dyDescent="0.25">
      <c r="A138" s="161" t="s">
        <v>188</v>
      </c>
      <c r="B138" s="160" t="s">
        <v>448</v>
      </c>
      <c r="C138" s="159" t="str">
        <f>VLOOKUP(A138,'2-Inventário de Necessidades'!$A$2:$C$63,3)</f>
        <v>Viabilização de solução de gerenciamento de processos organizacionais</v>
      </c>
    </row>
    <row r="139" spans="1:3" x14ac:dyDescent="0.25">
      <c r="A139" s="161" t="s">
        <v>188</v>
      </c>
      <c r="B139" s="80" t="s">
        <v>756</v>
      </c>
      <c r="C139" s="159" t="str">
        <f>VLOOKUP(A139,'2-Inventário de Necessidades'!$A$2:$C$63,3)</f>
        <v>Viabilização de solução de gerenciamento de processos organizacionais</v>
      </c>
    </row>
    <row r="140" spans="1:3" x14ac:dyDescent="0.25">
      <c r="A140" s="161" t="s">
        <v>190</v>
      </c>
      <c r="B140" s="80" t="s">
        <v>756</v>
      </c>
      <c r="C140" s="159" t="str">
        <f>VLOOKUP(A140,'2-Inventário de Necessidades'!$A$2:$C$63,3)</f>
        <v>Viabilização de solução para gestão do conhecimento</v>
      </c>
    </row>
    <row r="141" spans="1:3" x14ac:dyDescent="0.25">
      <c r="A141" s="161" t="s">
        <v>192</v>
      </c>
      <c r="B141" s="160" t="s">
        <v>448</v>
      </c>
      <c r="C141" s="159" t="str">
        <f>VLOOKUP(A141,'2-Inventário de Necessidades'!$A$2:$C$63,3)</f>
        <v>Desenvolvimento de solução de portal corporativo e ferramentas de colaboração e de socialização</v>
      </c>
    </row>
    <row r="142" spans="1:3" x14ac:dyDescent="0.25">
      <c r="A142" s="161" t="s">
        <v>192</v>
      </c>
      <c r="B142" s="80" t="s">
        <v>756</v>
      </c>
      <c r="C142" s="159" t="str">
        <f>VLOOKUP(A142,'2-Inventário de Necessidades'!$A$2:$C$63,3)</f>
        <v>Desenvolvimento de solução de portal corporativo e ferramentas de colaboração e de socialização</v>
      </c>
    </row>
    <row r="143" spans="1:3" x14ac:dyDescent="0.25">
      <c r="A143" s="161" t="s">
        <v>195</v>
      </c>
      <c r="B143" s="80" t="s">
        <v>755</v>
      </c>
      <c r="C143" s="159" t="str">
        <f>VLOOKUP(A143,'2-Inventário de Necessidades'!$A$2:$C$63,3)</f>
        <v>Desenvolvimento de solução de gestão da manutenção predial</v>
      </c>
    </row>
    <row r="144" spans="1:3" x14ac:dyDescent="0.25">
      <c r="A144" s="161" t="s">
        <v>198</v>
      </c>
      <c r="B144" s="160" t="s">
        <v>251</v>
      </c>
      <c r="C144" s="159" t="str">
        <f>VLOOKUP(A144,'2-Inventário de Necessidades'!$A$2:$C$63,3)</f>
        <v>Viabilização de infraestrutura para produção de conteúdo de vídeo e transmissão das Sessões Plenárias</v>
      </c>
    </row>
    <row r="145" spans="1:3" x14ac:dyDescent="0.25">
      <c r="A145" s="161" t="s">
        <v>202</v>
      </c>
      <c r="B145" s="160" t="s">
        <v>283</v>
      </c>
      <c r="C145" s="159" t="str">
        <f>VLOOKUP(A145,'2-Inventário de Necessidades'!$A$2:$C$63,3)</f>
        <v>Conclusão da solução GRAC - Registro de atos de concessão</v>
      </c>
    </row>
    <row r="146" spans="1:3" x14ac:dyDescent="0.25">
      <c r="A146" s="161" t="s">
        <v>204</v>
      </c>
      <c r="B146" s="160" t="s">
        <v>283</v>
      </c>
      <c r="C146" s="159" t="str">
        <f>VLOOKUP(A146,'2-Inventário de Necessidades'!$A$2:$C$63,3)</f>
        <v>Conclusão da solução GRAC - Registro de atos de concessão</v>
      </c>
    </row>
    <row r="147" spans="1:3" x14ac:dyDescent="0.25">
      <c r="A147" s="161" t="s">
        <v>284</v>
      </c>
      <c r="B147" s="160" t="s">
        <v>251</v>
      </c>
      <c r="C147" s="159" t="str">
        <f>VLOOKUP(A147,'2-Inventário de Necessidades'!$A$2:$C$63,3)</f>
        <v>Ajustar sistemas internos às necessidades do usuários.</v>
      </c>
    </row>
    <row r="148" spans="1:3" x14ac:dyDescent="0.25">
      <c r="A148" s="161" t="s">
        <v>284</v>
      </c>
      <c r="B148" s="160" t="s">
        <v>742</v>
      </c>
      <c r="C148" s="159" t="str">
        <f>VLOOKUP(A148,'2-Inventário de Necessidades'!$A$2:$C$63,3)</f>
        <v>Ajustar sistemas internos às necessidades do usuários.</v>
      </c>
    </row>
    <row r="149" spans="1:3" x14ac:dyDescent="0.25">
      <c r="A149" s="161" t="s">
        <v>284</v>
      </c>
      <c r="B149" s="160" t="s">
        <v>246</v>
      </c>
      <c r="C149" s="159" t="str">
        <f>VLOOKUP(A149,'2-Inventário de Necessidades'!$A$2:$C$63,3)</f>
        <v>Ajustar sistemas internos às necessidades do usuários.</v>
      </c>
    </row>
    <row r="150" spans="1:3" x14ac:dyDescent="0.25">
      <c r="A150" s="161" t="s">
        <v>284</v>
      </c>
      <c r="B150" s="160" t="s">
        <v>741</v>
      </c>
      <c r="C150" s="159" t="str">
        <f>VLOOKUP(A150,'2-Inventário de Necessidades'!$A$2:$C$63,3)</f>
        <v>Ajustar sistemas internos às necessidades do usuários.</v>
      </c>
    </row>
    <row r="151" spans="1:3" x14ac:dyDescent="0.25">
      <c r="A151" s="161" t="s">
        <v>284</v>
      </c>
      <c r="B151" s="160" t="s">
        <v>243</v>
      </c>
      <c r="C151" s="159" t="str">
        <f>VLOOKUP(A151,'2-Inventário de Necessidades'!$A$2:$C$63,3)</f>
        <v>Ajustar sistemas internos às necessidades do usuários.</v>
      </c>
    </row>
    <row r="152" spans="1:3" x14ac:dyDescent="0.25">
      <c r="A152" s="161" t="s">
        <v>284</v>
      </c>
      <c r="B152" s="160" t="s">
        <v>253</v>
      </c>
      <c r="C152" s="159" t="str">
        <f>VLOOKUP(A152,'2-Inventário de Necessidades'!$A$2:$C$63,3)</f>
        <v>Ajustar sistemas internos às necessidades do usuários.</v>
      </c>
    </row>
    <row r="153" spans="1:3" x14ac:dyDescent="0.25">
      <c r="A153" s="161" t="s">
        <v>284</v>
      </c>
      <c r="B153" s="160" t="s">
        <v>262</v>
      </c>
      <c r="C153" s="159" t="str">
        <f>VLOOKUP(A153,'2-Inventário de Necessidades'!$A$2:$C$63,3)</f>
        <v>Ajustar sistemas internos às necessidades do usuários.</v>
      </c>
    </row>
    <row r="154" spans="1:3" x14ac:dyDescent="0.25">
      <c r="A154" s="161" t="s">
        <v>284</v>
      </c>
      <c r="B154" s="80" t="s">
        <v>758</v>
      </c>
      <c r="C154" s="159" t="str">
        <f>VLOOKUP(A154,'2-Inventário de Necessidades'!$A$2:$C$63,3)</f>
        <v>Ajustar sistemas internos às necessidades do usuários.</v>
      </c>
    </row>
    <row r="155" spans="1:3" x14ac:dyDescent="0.25">
      <c r="A155" s="161" t="s">
        <v>284</v>
      </c>
      <c r="B155" s="160" t="s">
        <v>753</v>
      </c>
      <c r="C155" s="159" t="str">
        <f>VLOOKUP(A155,'2-Inventário de Necessidades'!$A$2:$C$63,3)</f>
        <v>Ajustar sistemas internos às necessidades do usuários.</v>
      </c>
    </row>
    <row r="156" spans="1:3" x14ac:dyDescent="0.25">
      <c r="A156" s="161" t="s">
        <v>284</v>
      </c>
      <c r="B156" s="80" t="s">
        <v>755</v>
      </c>
      <c r="C156" s="159" t="str">
        <f>VLOOKUP(A156,'2-Inventário de Necessidades'!$A$2:$C$63,3)</f>
        <v>Ajustar sistemas internos às necessidades do usuários.</v>
      </c>
    </row>
    <row r="157" spans="1:3" x14ac:dyDescent="0.25">
      <c r="A157" s="161" t="s">
        <v>284</v>
      </c>
      <c r="B157" s="160" t="s">
        <v>283</v>
      </c>
      <c r="C157" s="159" t="str">
        <f>VLOOKUP(A157,'2-Inventário de Necessidades'!$A$2:$C$63,3)</f>
        <v>Ajustar sistemas internos às necessidades do usuários.</v>
      </c>
    </row>
    <row r="158" spans="1:3" x14ac:dyDescent="0.25">
      <c r="A158" s="161" t="s">
        <v>284</v>
      </c>
      <c r="B158" s="160" t="s">
        <v>730</v>
      </c>
      <c r="C158" s="159" t="str">
        <f>VLOOKUP(A158,'2-Inventário de Necessidades'!$A$2:$C$63,3)</f>
        <v>Ajustar sistemas internos às necessidades do usuários.</v>
      </c>
    </row>
    <row r="159" spans="1:3" x14ac:dyDescent="0.25">
      <c r="A159" s="161" t="s">
        <v>284</v>
      </c>
      <c r="B159" s="80" t="s">
        <v>756</v>
      </c>
      <c r="C159" s="159" t="str">
        <f>VLOOKUP(A159,'2-Inventário de Necessidades'!$A$2:$C$63,3)</f>
        <v>Ajustar sistemas internos às necessidades do usuários.</v>
      </c>
    </row>
    <row r="160" spans="1:3" x14ac:dyDescent="0.25">
      <c r="A160" s="161" t="s">
        <v>284</v>
      </c>
      <c r="B160" s="160" t="s">
        <v>734</v>
      </c>
      <c r="C160" s="159" t="str">
        <f>VLOOKUP(A160,'2-Inventário de Necessidades'!$A$2:$C$63,3)</f>
        <v>Ajustar sistemas internos às necessidades do usuários.</v>
      </c>
    </row>
    <row r="161" spans="1:3" x14ac:dyDescent="0.25">
      <c r="A161" s="161" t="s">
        <v>284</v>
      </c>
      <c r="B161" s="160" t="s">
        <v>754</v>
      </c>
      <c r="C161" s="159" t="str">
        <f>VLOOKUP(A161,'2-Inventário de Necessidades'!$A$2:$C$63,3)</f>
        <v>Ajustar sistemas internos às necessidades do usuários.</v>
      </c>
    </row>
    <row r="162" spans="1:3" x14ac:dyDescent="0.25">
      <c r="A162" s="161" t="s">
        <v>284</v>
      </c>
      <c r="B162" s="160" t="s">
        <v>273</v>
      </c>
      <c r="C162" s="159" t="str">
        <f>VLOOKUP(A162,'2-Inventário de Necessidades'!$A$2:$C$63,3)</f>
        <v>Ajustar sistemas internos às necessidades do usuários.</v>
      </c>
    </row>
    <row r="163" spans="1:3" x14ac:dyDescent="0.25">
      <c r="A163" s="161" t="s">
        <v>284</v>
      </c>
      <c r="B163" s="80" t="s">
        <v>735</v>
      </c>
      <c r="C163" s="159" t="str">
        <f>VLOOKUP(A163,'2-Inventário de Necessidades'!$A$2:$C$63,3)</f>
        <v>Ajustar sistemas internos às necessidades do usuários.</v>
      </c>
    </row>
    <row r="164" spans="1:3" x14ac:dyDescent="0.25">
      <c r="A164" s="161" t="s">
        <v>781</v>
      </c>
      <c r="B164" s="160" t="s">
        <v>742</v>
      </c>
      <c r="C164" s="159" t="str">
        <f>VLOOKUP(A164,'2-Inventário de Necessidades'!$A$2:$C$63,3)</f>
        <v>Prover serviços de apoio técnico, realizar o gerenciamento de contratos, ativos e soluções de TI</v>
      </c>
    </row>
    <row r="165" spans="1:3" x14ac:dyDescent="0.25">
      <c r="A165" s="161" t="s">
        <v>781</v>
      </c>
      <c r="B165" s="160" t="s">
        <v>246</v>
      </c>
      <c r="C165" s="159" t="str">
        <f>VLOOKUP(A165,'2-Inventário de Necessidades'!$A$2:$C$63,3)</f>
        <v>Prover serviços de apoio técnico, realizar o gerenciamento de contratos, ativos e soluções de TI</v>
      </c>
    </row>
    <row r="166" spans="1:3" x14ac:dyDescent="0.25">
      <c r="A166" s="161" t="s">
        <v>781</v>
      </c>
      <c r="B166" s="160" t="s">
        <v>741</v>
      </c>
      <c r="C166" s="159" t="str">
        <f>VLOOKUP(A166,'2-Inventário de Necessidades'!$A$2:$C$63,3)</f>
        <v>Prover serviços de apoio técnico, realizar o gerenciamento de contratos, ativos e soluções de TI</v>
      </c>
    </row>
    <row r="167" spans="1:3" x14ac:dyDescent="0.25">
      <c r="A167" s="161" t="s">
        <v>781</v>
      </c>
      <c r="B167" s="160" t="s">
        <v>243</v>
      </c>
      <c r="C167" s="159" t="str">
        <f>VLOOKUP(A167,'2-Inventário de Necessidades'!$A$2:$C$63,3)</f>
        <v>Prover serviços de apoio técnico, realizar o gerenciamento de contratos, ativos e soluções de TI</v>
      </c>
    </row>
    <row r="168" spans="1:3" x14ac:dyDescent="0.25">
      <c r="A168" s="161" t="s">
        <v>781</v>
      </c>
      <c r="B168" s="160" t="s">
        <v>253</v>
      </c>
      <c r="C168" s="159" t="str">
        <f>VLOOKUP(A168,'2-Inventário de Necessidades'!$A$2:$C$63,3)</f>
        <v>Prover serviços de apoio técnico, realizar o gerenciamento de contratos, ativos e soluções de TI</v>
      </c>
    </row>
    <row r="169" spans="1:3" x14ac:dyDescent="0.25">
      <c r="A169" s="161" t="s">
        <v>781</v>
      </c>
      <c r="B169" s="160" t="s">
        <v>262</v>
      </c>
      <c r="C169" s="159" t="str">
        <f>VLOOKUP(A169,'2-Inventário de Necessidades'!$A$2:$C$63,3)</f>
        <v>Prover serviços de apoio técnico, realizar o gerenciamento de contratos, ativos e soluções de TI</v>
      </c>
    </row>
    <row r="170" spans="1:3" x14ac:dyDescent="0.25">
      <c r="A170" s="161" t="s">
        <v>781</v>
      </c>
      <c r="B170" s="80" t="s">
        <v>758</v>
      </c>
      <c r="C170" s="159" t="str">
        <f>VLOOKUP(A170,'2-Inventário de Necessidades'!$A$2:$C$63,3)</f>
        <v>Prover serviços de apoio técnico, realizar o gerenciamento de contratos, ativos e soluções de TI</v>
      </c>
    </row>
    <row r="171" spans="1:3" x14ac:dyDescent="0.25">
      <c r="A171" s="161" t="s">
        <v>781</v>
      </c>
      <c r="B171" s="160" t="s">
        <v>753</v>
      </c>
      <c r="C171" s="159" t="str">
        <f>VLOOKUP(A171,'2-Inventário de Necessidades'!$A$2:$C$63,3)</f>
        <v>Prover serviços de apoio técnico, realizar o gerenciamento de contratos, ativos e soluções de TI</v>
      </c>
    </row>
    <row r="172" spans="1:3" x14ac:dyDescent="0.25">
      <c r="A172" s="161" t="s">
        <v>781</v>
      </c>
      <c r="B172" s="80" t="s">
        <v>755</v>
      </c>
      <c r="C172" s="159" t="str">
        <f>VLOOKUP(A172,'2-Inventário de Necessidades'!$A$2:$C$63,3)</f>
        <v>Prover serviços de apoio técnico, realizar o gerenciamento de contratos, ativos e soluções de TI</v>
      </c>
    </row>
    <row r="173" spans="1:3" x14ac:dyDescent="0.25">
      <c r="A173" s="161" t="s">
        <v>781</v>
      </c>
      <c r="B173" s="160" t="s">
        <v>283</v>
      </c>
      <c r="C173" s="159" t="str">
        <f>VLOOKUP(A173,'2-Inventário de Necessidades'!$A$2:$C$63,3)</f>
        <v>Prover serviços de apoio técnico, realizar o gerenciamento de contratos, ativos e soluções de TI</v>
      </c>
    </row>
    <row r="174" spans="1:3" x14ac:dyDescent="0.25">
      <c r="A174" s="161" t="s">
        <v>781</v>
      </c>
      <c r="B174" s="160" t="s">
        <v>730</v>
      </c>
      <c r="C174" s="159" t="str">
        <f>VLOOKUP(A174,'2-Inventário de Necessidades'!$A$2:$C$63,3)</f>
        <v>Prover serviços de apoio técnico, realizar o gerenciamento de contratos, ativos e soluções de TI</v>
      </c>
    </row>
    <row r="175" spans="1:3" x14ac:dyDescent="0.25">
      <c r="A175" s="161" t="s">
        <v>781</v>
      </c>
      <c r="B175" s="80" t="s">
        <v>756</v>
      </c>
      <c r="C175" s="159" t="str">
        <f>VLOOKUP(A175,'2-Inventário de Necessidades'!$A$2:$C$63,3)</f>
        <v>Prover serviços de apoio técnico, realizar o gerenciamento de contratos, ativos e soluções de TI</v>
      </c>
    </row>
    <row r="176" spans="1:3" x14ac:dyDescent="0.25">
      <c r="A176" s="161" t="s">
        <v>781</v>
      </c>
      <c r="B176" s="160" t="s">
        <v>734</v>
      </c>
      <c r="C176" s="159" t="str">
        <f>VLOOKUP(A176,'2-Inventário de Necessidades'!$A$2:$C$63,3)</f>
        <v>Prover serviços de apoio técnico, realizar o gerenciamento de contratos, ativos e soluções de TI</v>
      </c>
    </row>
    <row r="177" spans="1:3" x14ac:dyDescent="0.25">
      <c r="A177" s="161" t="s">
        <v>781</v>
      </c>
      <c r="B177" s="160" t="s">
        <v>754</v>
      </c>
      <c r="C177" s="159" t="str">
        <f>VLOOKUP(A177,'2-Inventário de Necessidades'!$A$2:$C$63,3)</f>
        <v>Prover serviços de apoio técnico, realizar o gerenciamento de contratos, ativos e soluções de TI</v>
      </c>
    </row>
    <row r="178" spans="1:3" x14ac:dyDescent="0.25">
      <c r="A178" s="161" t="s">
        <v>781</v>
      </c>
      <c r="B178" s="160" t="s">
        <v>273</v>
      </c>
      <c r="C178" s="159" t="str">
        <f>VLOOKUP(A178,'2-Inventário de Necessidades'!$A$2:$C$63,3)</f>
        <v>Prover serviços de apoio técnico, realizar o gerenciamento de contratos, ativos e soluções de TI</v>
      </c>
    </row>
    <row r="179" spans="1:3" x14ac:dyDescent="0.25">
      <c r="A179" s="161" t="s">
        <v>781</v>
      </c>
      <c r="B179" s="80" t="s">
        <v>735</v>
      </c>
      <c r="C179" s="159" t="str">
        <f>VLOOKUP(A179,'2-Inventário de Necessidades'!$A$2:$C$63,3)</f>
        <v>Prover serviços de apoio técnico, realizar o gerenciamento de contratos, ativos e soluções de TI</v>
      </c>
    </row>
    <row r="180" spans="1:3" x14ac:dyDescent="0.25">
      <c r="A180" s="161" t="s">
        <v>911</v>
      </c>
      <c r="B180" s="160" t="s">
        <v>742</v>
      </c>
      <c r="C180" s="159" t="str">
        <f>VLOOKUP(A180,'2-Inventário de Necessidades'!$A$2:$C$63,3)</f>
        <v>Prover solução de gestão corporativa de riscos (MMD)</v>
      </c>
    </row>
    <row r="181" spans="1:3" x14ac:dyDescent="0.25">
      <c r="A181" s="161" t="s">
        <v>912</v>
      </c>
      <c r="B181" s="160" t="s">
        <v>283</v>
      </c>
      <c r="C181" s="159" t="str">
        <f>VLOOKUP(A181,'2-Inventário de Necessidades'!$A$2:$C$63,3)</f>
        <v>Prover solução para gestão de convênios (MMD)</v>
      </c>
    </row>
    <row r="182" spans="1:3" x14ac:dyDescent="0.25">
      <c r="A182" s="161" t="s">
        <v>913</v>
      </c>
      <c r="B182" s="160" t="s">
        <v>924</v>
      </c>
      <c r="C182" s="159" t="str">
        <f>VLOOKUP(A182,'2-Inventário de Necessidades'!$A$2:$C$63,3)</f>
        <v>Aprimoramento de serviços para atender quesitos de transparência propostos pela ENCCLA, bem como o cumprimento integral da LAI estadual e federal</v>
      </c>
    </row>
    <row r="183" spans="1:3" x14ac:dyDescent="0.25">
      <c r="A183" s="161" t="s">
        <v>1146</v>
      </c>
      <c r="B183" s="160" t="s">
        <v>283</v>
      </c>
      <c r="C183" s="159" t="str">
        <f>VLOOKUP(A183,'2-Inventário de Necessidades'!$A$2:$C$63,3)</f>
        <v>Viabilizar a fiscalização e acompanhamento de concursos públicos</v>
      </c>
    </row>
    <row r="184" spans="1:3" x14ac:dyDescent="0.25">
      <c r="A184" s="161" t="s">
        <v>1148</v>
      </c>
      <c r="B184" s="160" t="s">
        <v>251</v>
      </c>
      <c r="C184" s="159" t="str">
        <f>VLOOKUP(A184,'2-Inventário de Necessidades'!$A$2:$C$63,3)</f>
        <v>Prover suporte tecnológico para a ampliação da comunicação corporativa no TCE-GO</v>
      </c>
    </row>
  </sheetData>
  <autoFilter ref="A2:B184">
    <sortState ref="A3:B162">
      <sortCondition ref="A2"/>
    </sortState>
  </autoFilter>
  <customSheetViews>
    <customSheetView guid="{6DFBCBA6-E327-48F2-941C-44ACD0154C7D}" fitToPage="1" showAutoFilter="1">
      <pageMargins left="0.511811024" right="0.511811024" top="0.78740157499999996" bottom="0.78740157499999996" header="0.31496062000000002" footer="0.31496062000000002"/>
      <pageSetup paperSize="9" scale="63" fitToHeight="0" orientation="portrait" r:id="rId1"/>
      <autoFilter ref="A2:B182">
        <sortState ref="A3:B162">
          <sortCondition ref="A2"/>
        </sortState>
      </autoFilter>
    </customSheetView>
    <customSheetView guid="{9DA56328-1E02-4631-BF3A-66F8FD0B96FD}" fitToPage="1" showAutoFilter="1">
      <pageMargins left="0.511811024" right="0.511811024" top="0.78740157499999996" bottom="0.78740157499999996" header="0.31496062000000002" footer="0.31496062000000002"/>
      <pageSetup paperSize="9" scale="63" fitToHeight="0" orientation="portrait" r:id="rId2"/>
      <autoFilter ref="A2:B182">
        <sortState ref="A3:B162">
          <sortCondition ref="A2"/>
        </sortState>
      </autoFilter>
    </customSheetView>
  </customSheetViews>
  <pageMargins left="0.511811024" right="0.511811024" top="0.78740157499999996" bottom="0.78740157499999996" header="0.31496062000000002" footer="0.31496062000000002"/>
  <pageSetup paperSize="9" scale="63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1-Metas e Indicadores</vt:lpstr>
      <vt:lpstr>2-Inventário de Necessidades</vt:lpstr>
      <vt:lpstr>3-Plano de Ações</vt:lpstr>
      <vt:lpstr>4-Investimento-Custeio</vt:lpstr>
      <vt:lpstr>5-Capacitação</vt:lpstr>
      <vt:lpstr>6- ALINHAMENTO ESTRATÉGIA TI</vt:lpstr>
      <vt:lpstr>7- ALINHAMENTO ESTRATÉGIA TCE</vt:lpstr>
      <vt:lpstr>ESTRATÉGIA TCE - PD-2015</vt:lpstr>
      <vt:lpstr>DEMANDANTES</vt:lpstr>
      <vt:lpstr>MMD</vt:lpstr>
      <vt:lpstr>REVISÃO 2017-1 - PRIORIZAÇÃO</vt:lpstr>
      <vt:lpstr>AÇÕES SGP</vt:lpstr>
      <vt:lpstr>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Augusto Pedreira Xavier</dc:creator>
  <cp:lastModifiedBy>Marcelo Augusto Pedreira Xavier</cp:lastModifiedBy>
  <cp:lastPrinted>2017-07-14T20:07:16Z</cp:lastPrinted>
  <dcterms:created xsi:type="dcterms:W3CDTF">2016-04-06T11:50:45Z</dcterms:created>
  <dcterms:modified xsi:type="dcterms:W3CDTF">2017-12-07T12:26:28Z</dcterms:modified>
</cp:coreProperties>
</file>